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 tabRatio="965" activeTab="2"/>
  </bookViews>
  <sheets>
    <sheet name="инвентаризация мягк инв" sheetId="21" r:id="rId1"/>
    <sheet name="Лист1" sheetId="19" r:id="rId2"/>
    <sheet name="ПЛАН" sheetId="9" r:id="rId3"/>
    <sheet name="ФОТ по ЗП-соц" sheetId="15" r:id="rId4"/>
    <sheet name="прочие выпл" sheetId="5" r:id="rId5"/>
    <sheet name="стр взносы" sheetId="8" r:id="rId6"/>
    <sheet name="выплаты соц.ха" sheetId="6" r:id="rId7"/>
    <sheet name="Налоги" sheetId="2" r:id="rId8"/>
    <sheet name="безвоз пер" sheetId="10" r:id="rId9"/>
    <sheet name="пр. расх" sheetId="11" r:id="rId10"/>
    <sheet name="работы и услуги" sheetId="4" r:id="rId11"/>
    <sheet name="ОС и МЗ" sheetId="1" r:id="rId12"/>
    <sheet name="питание" sheetId="12" r:id="rId13"/>
    <sheet name="мягкий инвентарь" sheetId="13" r:id="rId14"/>
    <sheet name="выплаты умень доход" sheetId="7" r:id="rId15"/>
    <sheet name="ээнергия" sheetId="16" r:id="rId16"/>
    <sheet name="канализация" sheetId="17" r:id="rId17"/>
    <sheet name="тбо" sheetId="18" r:id="rId18"/>
    <sheet name="осн" sheetId="20" r:id="rId19"/>
  </sheets>
  <definedNames>
    <definedName name="_xlnm._FilterDatabase" localSheetId="2" hidden="1">ПЛАН!$A$22:$CC$153</definedName>
  </definedName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150" i="9"/>
  <c r="D40" l="1"/>
  <c r="D38" s="1"/>
  <c r="D150"/>
  <c r="D110" s="1"/>
  <c r="C110" s="1"/>
  <c r="BI100"/>
  <c r="D100"/>
  <c r="BI148"/>
  <c r="BI132"/>
  <c r="D132"/>
  <c r="N116"/>
  <c r="N118"/>
  <c r="N124"/>
  <c r="E15" i="21"/>
  <c r="E14"/>
  <c r="F14" s="1"/>
  <c r="H14" s="1"/>
  <c r="E11"/>
  <c r="Q22"/>
  <c r="M22"/>
  <c r="Q21"/>
  <c r="M21"/>
  <c r="M20"/>
  <c r="Q20" s="1"/>
  <c r="Q19"/>
  <c r="M19"/>
  <c r="Q18"/>
  <c r="N18"/>
  <c r="M18"/>
  <c r="Q17"/>
  <c r="M17"/>
  <c r="Q16"/>
  <c r="M16"/>
  <c r="M15"/>
  <c r="Q15" s="1"/>
  <c r="M14"/>
  <c r="Q14" s="1"/>
  <c r="Q13"/>
  <c r="M13"/>
  <c r="Q12"/>
  <c r="M12"/>
  <c r="Q11"/>
  <c r="M11"/>
  <c r="E18"/>
  <c r="F22"/>
  <c r="H22" s="1"/>
  <c r="D22"/>
  <c r="D21"/>
  <c r="F21" s="1"/>
  <c r="H21" s="1"/>
  <c r="D20"/>
  <c r="F20" s="1"/>
  <c r="H20" s="1"/>
  <c r="D19"/>
  <c r="F19" s="1"/>
  <c r="H19" s="1"/>
  <c r="F18"/>
  <c r="H18" s="1"/>
  <c r="D18"/>
  <c r="D17"/>
  <c r="F17" s="1"/>
  <c r="H17" s="1"/>
  <c r="F16"/>
  <c r="H16" s="1"/>
  <c r="D16"/>
  <c r="D15"/>
  <c r="D14"/>
  <c r="D13"/>
  <c r="F13" s="1"/>
  <c r="H13" s="1"/>
  <c r="D12"/>
  <c r="F12" s="1"/>
  <c r="H12" s="1"/>
  <c r="D11"/>
  <c r="BI37" i="9"/>
  <c r="D25" i="19"/>
  <c r="BM100" i="9"/>
  <c r="BM93"/>
  <c r="N91"/>
  <c r="E342" i="1"/>
  <c r="D26" i="4"/>
  <c r="J12" i="19"/>
  <c r="D106" i="1"/>
  <c r="D29" i="19" s="1"/>
  <c r="D105" i="1"/>
  <c r="D44" i="4"/>
  <c r="L10" i="19"/>
  <c r="J2"/>
  <c r="J37"/>
  <c r="I37"/>
  <c r="J27"/>
  <c r="I27"/>
  <c r="J21"/>
  <c r="J19" s="1"/>
  <c r="I21"/>
  <c r="I19" s="1"/>
  <c r="I12"/>
  <c r="K11"/>
  <c r="K13"/>
  <c r="K14"/>
  <c r="K15"/>
  <c r="K16"/>
  <c r="K17"/>
  <c r="K18"/>
  <c r="K20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10"/>
  <c r="D21"/>
  <c r="AD23" i="15"/>
  <c r="I4" i="19"/>
  <c r="D4"/>
  <c r="R10" i="15"/>
  <c r="E24" i="1"/>
  <c r="E23"/>
  <c r="E22"/>
  <c r="E21"/>
  <c r="H197"/>
  <c r="H196"/>
  <c r="H195"/>
  <c r="E374"/>
  <c r="E375"/>
  <c r="E376"/>
  <c r="E377"/>
  <c r="D100"/>
  <c r="E55"/>
  <c r="E51"/>
  <c r="E38"/>
  <c r="E50"/>
  <c r="E49"/>
  <c r="E35"/>
  <c r="E34"/>
  <c r="E33"/>
  <c r="E54"/>
  <c r="E53"/>
  <c r="D45" i="4"/>
  <c r="D46"/>
  <c r="D90"/>
  <c r="D89"/>
  <c r="D88"/>
  <c r="D87"/>
  <c r="D18" i="13"/>
  <c r="M15" i="16"/>
  <c r="D85" i="4"/>
  <c r="D84"/>
  <c r="D81"/>
  <c r="D27"/>
  <c r="E27"/>
  <c r="C27"/>
  <c r="D5" i="18"/>
  <c r="C26" i="4"/>
  <c r="O21" i="17"/>
  <c r="N21"/>
  <c r="O20"/>
  <c r="N20"/>
  <c r="O14"/>
  <c r="N14"/>
  <c r="J21"/>
  <c r="I21"/>
  <c r="H21"/>
  <c r="G21"/>
  <c r="C21"/>
  <c r="E20"/>
  <c r="K20"/>
  <c r="K19"/>
  <c r="E19"/>
  <c r="E18"/>
  <c r="C18"/>
  <c r="K18" s="1"/>
  <c r="E17"/>
  <c r="C17"/>
  <c r="E16"/>
  <c r="C16"/>
  <c r="K16" s="1"/>
  <c r="E15"/>
  <c r="C15"/>
  <c r="E14"/>
  <c r="F14" s="1"/>
  <c r="D14"/>
  <c r="C14"/>
  <c r="K14" s="1"/>
  <c r="F13"/>
  <c r="E13"/>
  <c r="C13"/>
  <c r="D13" s="1"/>
  <c r="E12"/>
  <c r="F12" s="1"/>
  <c r="D12"/>
  <c r="C12"/>
  <c r="K12" s="1"/>
  <c r="F11"/>
  <c r="E11"/>
  <c r="C11"/>
  <c r="D11" s="1"/>
  <c r="E10"/>
  <c r="F10" s="1"/>
  <c r="D10"/>
  <c r="C10"/>
  <c r="K10" s="1"/>
  <c r="F9"/>
  <c r="E9"/>
  <c r="E21" s="1"/>
  <c r="C9"/>
  <c r="D9" s="1"/>
  <c r="E6"/>
  <c r="C6"/>
  <c r="E5"/>
  <c r="F17" s="1"/>
  <c r="C5"/>
  <c r="D19" s="1"/>
  <c r="AC118" i="15"/>
  <c r="AC119"/>
  <c r="O118"/>
  <c r="C118"/>
  <c r="F11" i="21" l="1"/>
  <c r="H11" s="1"/>
  <c r="Q23"/>
  <c r="F15"/>
  <c r="H15" s="1"/>
  <c r="H23"/>
  <c r="K21" i="19"/>
  <c r="K19"/>
  <c r="J9"/>
  <c r="I9"/>
  <c r="I2" s="1"/>
  <c r="K12"/>
  <c r="L13" i="17"/>
  <c r="F15"/>
  <c r="D17"/>
  <c r="L17" s="1"/>
  <c r="D18"/>
  <c r="L18" s="1"/>
  <c r="F16"/>
  <c r="F19"/>
  <c r="L19" s="1"/>
  <c r="F20"/>
  <c r="L11"/>
  <c r="D15"/>
  <c r="D21" s="1"/>
  <c r="D16"/>
  <c r="D20"/>
  <c r="L20" s="1"/>
  <c r="F18"/>
  <c r="L9"/>
  <c r="L12"/>
  <c r="L10"/>
  <c r="L14"/>
  <c r="K9"/>
  <c r="K11"/>
  <c r="K13"/>
  <c r="K15"/>
  <c r="K17"/>
  <c r="BQ143" i="9"/>
  <c r="BJ143"/>
  <c r="BK143"/>
  <c r="BL143"/>
  <c r="BM143"/>
  <c r="BN143"/>
  <c r="BO143"/>
  <c r="BP143"/>
  <c r="BT143"/>
  <c r="BU143"/>
  <c r="BV143"/>
  <c r="BW143"/>
  <c r="BX143"/>
  <c r="BS143"/>
  <c r="BH143"/>
  <c r="P106"/>
  <c r="P38"/>
  <c r="E38"/>
  <c r="F38"/>
  <c r="G38"/>
  <c r="H38"/>
  <c r="I38"/>
  <c r="J38"/>
  <c r="K38"/>
  <c r="L38"/>
  <c r="M38"/>
  <c r="N38"/>
  <c r="O38"/>
  <c r="K9" i="19" l="1"/>
  <c r="K2" s="1"/>
  <c r="L16" i="17"/>
  <c r="L21" s="1"/>
  <c r="F21"/>
  <c r="L15"/>
  <c r="K21"/>
  <c r="D40" i="19"/>
  <c r="D39"/>
  <c r="D38"/>
  <c r="C35" i="2"/>
  <c r="C26"/>
  <c r="G14"/>
  <c r="C14" s="1"/>
  <c r="G13"/>
  <c r="C13"/>
  <c r="G12"/>
  <c r="C12" s="1"/>
  <c r="C15" s="1"/>
  <c r="G11"/>
  <c r="E39" i="20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0" s="1"/>
  <c r="D60" i="4"/>
  <c r="D23" i="19" s="1"/>
  <c r="D59" i="4"/>
  <c r="CB74" i="9"/>
  <c r="CA74"/>
  <c r="BZ74"/>
  <c r="BX74"/>
  <c r="BW74"/>
  <c r="BV74"/>
  <c r="BU74"/>
  <c r="BT74"/>
  <c r="BS74"/>
  <c r="BR74" s="1"/>
  <c r="BQ74"/>
  <c r="BP74"/>
  <c r="BO74"/>
  <c r="BN74"/>
  <c r="BL74"/>
  <c r="BK74"/>
  <c r="BJ74"/>
  <c r="BH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Q74" s="1"/>
  <c r="R74"/>
  <c r="P74"/>
  <c r="D37" i="19" l="1"/>
  <c r="C101" i="15"/>
  <c r="O101"/>
  <c r="AC101"/>
  <c r="AF101" s="1"/>
  <c r="AU98"/>
  <c r="AC98"/>
  <c r="AS98" s="1"/>
  <c r="AG55"/>
  <c r="AF116"/>
  <c r="AC113"/>
  <c r="AP113" s="1"/>
  <c r="C364" i="1"/>
  <c r="E355"/>
  <c r="E354"/>
  <c r="E353"/>
  <c r="E352"/>
  <c r="E351"/>
  <c r="E350"/>
  <c r="E349"/>
  <c r="E348"/>
  <c r="E347"/>
  <c r="E346"/>
  <c r="E275"/>
  <c r="E264"/>
  <c r="E262"/>
  <c r="E252"/>
  <c r="E251"/>
  <c r="E250"/>
  <c r="E249"/>
  <c r="E219"/>
  <c r="E220"/>
  <c r="E221"/>
  <c r="E222"/>
  <c r="E223"/>
  <c r="E224"/>
  <c r="E225"/>
  <c r="H187"/>
  <c r="H188"/>
  <c r="H189"/>
  <c r="H190"/>
  <c r="H191"/>
  <c r="H192"/>
  <c r="H193"/>
  <c r="H194"/>
  <c r="H186"/>
  <c r="H184"/>
  <c r="E19"/>
  <c r="E20"/>
  <c r="E13"/>
  <c r="H198" l="1"/>
  <c r="AP101" i="15"/>
  <c r="O113"/>
  <c r="O98"/>
  <c r="G16" i="5" l="1"/>
  <c r="D16" i="19" l="1"/>
  <c r="E345" i="1"/>
  <c r="E343"/>
  <c r="E344"/>
  <c r="E356"/>
  <c r="E357"/>
  <c r="D53" i="4"/>
  <c r="D54"/>
  <c r="D55"/>
  <c r="E373" i="1"/>
  <c r="E372"/>
  <c r="E371"/>
  <c r="E370"/>
  <c r="E369"/>
  <c r="E368"/>
  <c r="E367"/>
  <c r="E366"/>
  <c r="E365"/>
  <c r="E364"/>
  <c r="E363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3"/>
  <c r="E282"/>
  <c r="E281"/>
  <c r="E280"/>
  <c r="E277"/>
  <c r="E276"/>
  <c r="E274"/>
  <c r="E273"/>
  <c r="E272"/>
  <c r="E271"/>
  <c r="E270"/>
  <c r="E269"/>
  <c r="E268"/>
  <c r="E267"/>
  <c r="E266"/>
  <c r="E265"/>
  <c r="E263"/>
  <c r="E261"/>
  <c r="E260"/>
  <c r="E259"/>
  <c r="E258"/>
  <c r="E257"/>
  <c r="E256"/>
  <c r="E255"/>
  <c r="E254"/>
  <c r="E253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18"/>
  <c r="E217"/>
  <c r="E216"/>
  <c r="E215"/>
  <c r="E214"/>
  <c r="E213"/>
  <c r="E212"/>
  <c r="E211"/>
  <c r="E210"/>
  <c r="E209"/>
  <c r="E208"/>
  <c r="E207"/>
  <c r="E206"/>
  <c r="D183"/>
  <c r="H183" s="1"/>
  <c r="H182"/>
  <c r="D182"/>
  <c r="H181"/>
  <c r="D181"/>
  <c r="H180"/>
  <c r="D180"/>
  <c r="H179"/>
  <c r="D179"/>
  <c r="D178"/>
  <c r="F178" s="1"/>
  <c r="H178" s="1"/>
  <c r="H177"/>
  <c r="D177"/>
  <c r="H176"/>
  <c r="D176"/>
  <c r="E169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1"/>
  <c r="E122" s="1"/>
  <c r="E114"/>
  <c r="E113"/>
  <c r="E112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E52"/>
  <c r="E48"/>
  <c r="E47"/>
  <c r="E46"/>
  <c r="C45"/>
  <c r="E45" s="1"/>
  <c r="E44"/>
  <c r="E43"/>
  <c r="C42"/>
  <c r="E42" s="1"/>
  <c r="C41"/>
  <c r="E41" s="1"/>
  <c r="C40"/>
  <c r="E40" s="1"/>
  <c r="C39"/>
  <c r="E39" s="1"/>
  <c r="E37"/>
  <c r="E36"/>
  <c r="E32"/>
  <c r="E31"/>
  <c r="C30"/>
  <c r="E30" s="1"/>
  <c r="E18"/>
  <c r="E25" s="1"/>
  <c r="E17"/>
  <c r="E16"/>
  <c r="E15"/>
  <c r="E14"/>
  <c r="H185" l="1"/>
  <c r="H201" s="1"/>
  <c r="E56"/>
  <c r="D28" i="19" s="1"/>
  <c r="D32"/>
  <c r="E226" i="1"/>
  <c r="E378"/>
  <c r="D30" i="19" s="1"/>
  <c r="E116" i="1"/>
  <c r="D101"/>
  <c r="B18" i="18"/>
  <c r="D16"/>
  <c r="D15"/>
  <c r="D14"/>
  <c r="D13"/>
  <c r="D12"/>
  <c r="D11"/>
  <c r="D10"/>
  <c r="D9"/>
  <c r="D8"/>
  <c r="D7"/>
  <c r="D6"/>
  <c r="BI143" i="9" l="1"/>
  <c r="D26" i="19"/>
  <c r="D18" i="18"/>
  <c r="D31" i="19"/>
  <c r="D67" i="4"/>
  <c r="D86"/>
  <c r="D83"/>
  <c r="D82"/>
  <c r="D79"/>
  <c r="D78"/>
  <c r="D77"/>
  <c r="D75"/>
  <c r="D74"/>
  <c r="D73"/>
  <c r="D72"/>
  <c r="D71"/>
  <c r="D70"/>
  <c r="D69"/>
  <c r="D68"/>
  <c r="D52"/>
  <c r="D51"/>
  <c r="D50"/>
  <c r="D49"/>
  <c r="D48"/>
  <c r="D47"/>
  <c r="D43"/>
  <c r="D42"/>
  <c r="E19"/>
  <c r="E20"/>
  <c r="E18"/>
  <c r="E17"/>
  <c r="E16"/>
  <c r="D97"/>
  <c r="D96"/>
  <c r="E104"/>
  <c r="E15" i="16"/>
  <c r="B15"/>
  <c r="L14"/>
  <c r="K14"/>
  <c r="H14"/>
  <c r="G14"/>
  <c r="D14"/>
  <c r="H13"/>
  <c r="K13" s="1"/>
  <c r="G13"/>
  <c r="D13"/>
  <c r="I13" s="1"/>
  <c r="I12"/>
  <c r="H12"/>
  <c r="K12" s="1"/>
  <c r="L12" s="1"/>
  <c r="I11"/>
  <c r="H11"/>
  <c r="K11" s="1"/>
  <c r="L11" s="1"/>
  <c r="I10"/>
  <c r="H10"/>
  <c r="K10" s="1"/>
  <c r="L10" s="1"/>
  <c r="I9"/>
  <c r="H9"/>
  <c r="K9" s="1"/>
  <c r="L9" s="1"/>
  <c r="I8"/>
  <c r="H8"/>
  <c r="K8" s="1"/>
  <c r="L8" s="1"/>
  <c r="I7"/>
  <c r="H7"/>
  <c r="K7" s="1"/>
  <c r="L7" s="1"/>
  <c r="I6"/>
  <c r="H6"/>
  <c r="K6" s="1"/>
  <c r="L6" s="1"/>
  <c r="I5"/>
  <c r="H5"/>
  <c r="K5" s="1"/>
  <c r="L5" s="1"/>
  <c r="I4"/>
  <c r="H4"/>
  <c r="K4" s="1"/>
  <c r="L4" s="1"/>
  <c r="I3"/>
  <c r="H3"/>
  <c r="H15" s="1"/>
  <c r="D91" i="4" l="1"/>
  <c r="G15" i="16"/>
  <c r="D15"/>
  <c r="K3"/>
  <c r="L3" s="1"/>
  <c r="D56" i="4"/>
  <c r="D18" i="19"/>
  <c r="D98" i="4"/>
  <c r="L13" i="16"/>
  <c r="L15" s="1"/>
  <c r="K15"/>
  <c r="I14"/>
  <c r="I15" s="1"/>
  <c r="C113" i="15"/>
  <c r="D24" i="19" l="1"/>
  <c r="C98" i="15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7"/>
  <c r="C116"/>
  <c r="C115"/>
  <c r="C114"/>
  <c r="C112"/>
  <c r="C111"/>
  <c r="C110"/>
  <c r="C109"/>
  <c r="C108"/>
  <c r="C107"/>
  <c r="C106"/>
  <c r="C105"/>
  <c r="C104"/>
  <c r="C103"/>
  <c r="C102"/>
  <c r="C100"/>
  <c r="C99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7"/>
  <c r="C46"/>
  <c r="C45"/>
  <c r="C44"/>
  <c r="C43"/>
  <c r="C42"/>
  <c r="C41"/>
  <c r="C40"/>
  <c r="C39"/>
  <c r="C38"/>
  <c r="C37"/>
  <c r="C36"/>
  <c r="C35"/>
  <c r="D143" i="9" l="1"/>
  <c r="AZ115" l="1"/>
  <c r="BC115"/>
  <c r="BR115"/>
  <c r="BG115" s="1"/>
  <c r="BZ115"/>
  <c r="CB112"/>
  <c r="CA112"/>
  <c r="BX112"/>
  <c r="BW112"/>
  <c r="BV112"/>
  <c r="BU112"/>
  <c r="BT112"/>
  <c r="BS112"/>
  <c r="BQ112"/>
  <c r="BP112"/>
  <c r="BO112"/>
  <c r="BN112"/>
  <c r="BM112"/>
  <c r="BL112"/>
  <c r="BK112"/>
  <c r="BJ112"/>
  <c r="BI112"/>
  <c r="BH112"/>
  <c r="BF112"/>
  <c r="BE112"/>
  <c r="BD112"/>
  <c r="BB112"/>
  <c r="BA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E112"/>
  <c r="F112"/>
  <c r="G112"/>
  <c r="H112"/>
  <c r="I112"/>
  <c r="J112"/>
  <c r="K112"/>
  <c r="L112"/>
  <c r="M112"/>
  <c r="N112"/>
  <c r="O112"/>
  <c r="P112"/>
  <c r="D112"/>
  <c r="Q115"/>
  <c r="C115"/>
  <c r="BH137"/>
  <c r="BH132"/>
  <c r="BH118"/>
  <c r="BH116" s="1"/>
  <c r="BH104"/>
  <c r="BH76"/>
  <c r="BH75" s="1"/>
  <c r="BH37"/>
  <c r="BX37"/>
  <c r="BX118"/>
  <c r="BX116" s="1"/>
  <c r="D118"/>
  <c r="D116" s="1"/>
  <c r="BZ144"/>
  <c r="BR144"/>
  <c r="BG144" s="1"/>
  <c r="BC144"/>
  <c r="AZ144"/>
  <c r="Q144"/>
  <c r="C144"/>
  <c r="CA143"/>
  <c r="BZ143"/>
  <c r="BF143"/>
  <c r="BE143"/>
  <c r="BD143"/>
  <c r="BB143"/>
  <c r="BA143"/>
  <c r="AY143"/>
  <c r="AX143"/>
  <c r="AW143"/>
  <c r="AV143"/>
  <c r="AU143"/>
  <c r="AT143"/>
  <c r="AS143"/>
  <c r="AR143"/>
  <c r="AQ143"/>
  <c r="AP143"/>
  <c r="AO143"/>
  <c r="AN143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W143"/>
  <c r="V143"/>
  <c r="U143"/>
  <c r="T143"/>
  <c r="S143"/>
  <c r="R143"/>
  <c r="P143"/>
  <c r="O143"/>
  <c r="N143"/>
  <c r="M143"/>
  <c r="L143"/>
  <c r="K143"/>
  <c r="J143"/>
  <c r="I143"/>
  <c r="H143"/>
  <c r="G143"/>
  <c r="F143"/>
  <c r="E143"/>
  <c r="BH110" l="1"/>
  <c r="BH73" s="1"/>
  <c r="BH36" s="1"/>
  <c r="BY115"/>
  <c r="BR143"/>
  <c r="Q143"/>
  <c r="C143"/>
  <c r="BC143"/>
  <c r="AZ143"/>
  <c r="BY144"/>
  <c r="CB104" l="1"/>
  <c r="CA104"/>
  <c r="BZ104" s="1"/>
  <c r="BX104"/>
  <c r="BW104"/>
  <c r="BV104"/>
  <c r="BU104"/>
  <c r="BT104"/>
  <c r="BS104"/>
  <c r="BQ104"/>
  <c r="BP104"/>
  <c r="BO104"/>
  <c r="BN104"/>
  <c r="BM104"/>
  <c r="BL104"/>
  <c r="BK104"/>
  <c r="BJ104"/>
  <c r="BI104"/>
  <c r="BF104"/>
  <c r="BE104"/>
  <c r="BD104"/>
  <c r="BB104"/>
  <c r="BA104"/>
  <c r="AZ104" s="1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E104"/>
  <c r="F104"/>
  <c r="G104"/>
  <c r="H104"/>
  <c r="I104"/>
  <c r="J104"/>
  <c r="K104"/>
  <c r="L104"/>
  <c r="M104"/>
  <c r="N104"/>
  <c r="O104"/>
  <c r="P104"/>
  <c r="D104"/>
  <c r="Q152"/>
  <c r="Q151"/>
  <c r="Q150"/>
  <c r="Q149"/>
  <c r="Q148"/>
  <c r="Q147"/>
  <c r="Q146"/>
  <c r="Q145"/>
  <c r="Q142"/>
  <c r="Q141"/>
  <c r="Q140"/>
  <c r="Q139"/>
  <c r="Q138"/>
  <c r="Q136"/>
  <c r="Q135"/>
  <c r="Q134"/>
  <c r="Q133"/>
  <c r="Q131"/>
  <c r="Q130"/>
  <c r="Q129"/>
  <c r="Q128"/>
  <c r="Q127"/>
  <c r="Q126"/>
  <c r="Q125"/>
  <c r="Q124"/>
  <c r="Q123"/>
  <c r="Q122"/>
  <c r="Q121"/>
  <c r="Q120"/>
  <c r="Q119"/>
  <c r="Q117"/>
  <c r="Q114"/>
  <c r="Q113"/>
  <c r="Q112"/>
  <c r="Q111"/>
  <c r="Q109"/>
  <c r="Q108"/>
  <c r="Q107"/>
  <c r="Q106"/>
  <c r="Q105"/>
  <c r="Q103"/>
  <c r="Q102"/>
  <c r="Q101"/>
  <c r="Q100"/>
  <c r="Q99"/>
  <c r="Q98"/>
  <c r="Q97"/>
  <c r="Q96"/>
  <c r="Q95"/>
  <c r="Q94"/>
  <c r="Q93"/>
  <c r="Q92"/>
  <c r="Q91"/>
  <c r="Q90"/>
  <c r="Q89"/>
  <c r="Q88"/>
  <c r="Q87"/>
  <c r="Q86"/>
  <c r="Q85"/>
  <c r="Q84"/>
  <c r="Q83"/>
  <c r="Q82"/>
  <c r="Q81"/>
  <c r="Q80"/>
  <c r="Q79"/>
  <c r="Q78"/>
  <c r="Q77"/>
  <c r="Q72"/>
  <c r="Q71"/>
  <c r="Q69"/>
  <c r="Q68"/>
  <c r="Q67"/>
  <c r="Q66"/>
  <c r="Q65"/>
  <c r="Q64"/>
  <c r="Q63"/>
  <c r="Q62"/>
  <c r="Q61"/>
  <c r="Q60"/>
  <c r="Q59"/>
  <c r="Q58"/>
  <c r="Q57"/>
  <c r="Q56"/>
  <c r="Q55"/>
  <c r="Q53"/>
  <c r="Q52"/>
  <c r="Q51"/>
  <c r="Q50"/>
  <c r="Q49"/>
  <c r="Q48"/>
  <c r="Q47"/>
  <c r="Q46"/>
  <c r="Q45"/>
  <c r="Q44"/>
  <c r="Q43"/>
  <c r="Q42"/>
  <c r="Q41"/>
  <c r="Q40"/>
  <c r="Q39"/>
  <c r="Q38"/>
  <c r="Q35"/>
  <c r="C152"/>
  <c r="C151"/>
  <c r="C150"/>
  <c r="C147"/>
  <c r="C146"/>
  <c r="C145"/>
  <c r="C142"/>
  <c r="C141"/>
  <c r="C140"/>
  <c r="C139"/>
  <c r="C138"/>
  <c r="C136"/>
  <c r="C135"/>
  <c r="C134"/>
  <c r="C133"/>
  <c r="C131"/>
  <c r="C130"/>
  <c r="C129"/>
  <c r="C128"/>
  <c r="C127"/>
  <c r="C126"/>
  <c r="C125"/>
  <c r="C123"/>
  <c r="C122"/>
  <c r="C120"/>
  <c r="C119"/>
  <c r="C117"/>
  <c r="C114"/>
  <c r="C113"/>
  <c r="C112"/>
  <c r="C109"/>
  <c r="C108"/>
  <c r="C107"/>
  <c r="C106"/>
  <c r="C105"/>
  <c r="C103"/>
  <c r="C102"/>
  <c r="C101"/>
  <c r="C77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5"/>
  <c r="CB37"/>
  <c r="CA37"/>
  <c r="BW37"/>
  <c r="BV37"/>
  <c r="BU37"/>
  <c r="BT37"/>
  <c r="BS37"/>
  <c r="BQ37"/>
  <c r="BP37"/>
  <c r="BO37"/>
  <c r="BN37"/>
  <c r="BM37"/>
  <c r="BL37"/>
  <c r="BK37"/>
  <c r="BJ37"/>
  <c r="BF37"/>
  <c r="BE37"/>
  <c r="BD37"/>
  <c r="BB37"/>
  <c r="BA37"/>
  <c r="R54"/>
  <c r="R37" s="1"/>
  <c r="BZ152"/>
  <c r="BZ151"/>
  <c r="BZ150"/>
  <c r="BZ149"/>
  <c r="BZ148"/>
  <c r="BZ147"/>
  <c r="BZ146"/>
  <c r="BZ145"/>
  <c r="BZ142"/>
  <c r="BZ141"/>
  <c r="BZ140"/>
  <c r="BZ139"/>
  <c r="BZ138"/>
  <c r="BZ136"/>
  <c r="BZ135"/>
  <c r="BZ134"/>
  <c r="BZ133"/>
  <c r="BZ131"/>
  <c r="BZ130"/>
  <c r="BZ129"/>
  <c r="BZ128"/>
  <c r="BZ127"/>
  <c r="BZ126"/>
  <c r="BZ125"/>
  <c r="BZ124"/>
  <c r="BZ123"/>
  <c r="BZ122"/>
  <c r="BZ121"/>
  <c r="BZ120"/>
  <c r="BZ119"/>
  <c r="BZ117"/>
  <c r="BZ114"/>
  <c r="BZ113"/>
  <c r="BZ112"/>
  <c r="BZ111"/>
  <c r="BZ109"/>
  <c r="BZ108"/>
  <c r="BZ107"/>
  <c r="BZ106"/>
  <c r="BZ105"/>
  <c r="BZ103"/>
  <c r="BZ102"/>
  <c r="BZ101"/>
  <c r="BZ100"/>
  <c r="BZ99"/>
  <c r="BZ98"/>
  <c r="BZ97"/>
  <c r="BZ96"/>
  <c r="BZ95"/>
  <c r="BZ94"/>
  <c r="BZ93"/>
  <c r="BZ92"/>
  <c r="BZ91"/>
  <c r="BZ90"/>
  <c r="BZ89"/>
  <c r="BZ88"/>
  <c r="BZ87"/>
  <c r="BZ86"/>
  <c r="BZ85"/>
  <c r="BZ84"/>
  <c r="BZ83"/>
  <c r="BZ82"/>
  <c r="BZ81"/>
  <c r="BZ80"/>
  <c r="BZ79"/>
  <c r="BZ78"/>
  <c r="BZ77"/>
  <c r="BZ72"/>
  <c r="BZ71"/>
  <c r="BZ70"/>
  <c r="BZ69"/>
  <c r="BZ68"/>
  <c r="BZ67"/>
  <c r="BZ66"/>
  <c r="BZ65"/>
  <c r="BZ64"/>
  <c r="BZ63"/>
  <c r="BZ62"/>
  <c r="BZ61"/>
  <c r="BZ60"/>
  <c r="BZ59"/>
  <c r="BZ58"/>
  <c r="BZ57"/>
  <c r="BZ56"/>
  <c r="BZ55"/>
  <c r="BZ54"/>
  <c r="BZ53"/>
  <c r="BZ52"/>
  <c r="BZ51"/>
  <c r="BZ50"/>
  <c r="BZ49"/>
  <c r="BZ48"/>
  <c r="BZ47"/>
  <c r="BZ46"/>
  <c r="BZ45"/>
  <c r="BZ44"/>
  <c r="BZ43"/>
  <c r="BZ42"/>
  <c r="BZ41"/>
  <c r="BZ40"/>
  <c r="BZ39"/>
  <c r="BZ38"/>
  <c r="BZ35"/>
  <c r="BR152"/>
  <c r="BG152" s="1"/>
  <c r="BR151"/>
  <c r="BR150"/>
  <c r="BG150" s="1"/>
  <c r="BR149"/>
  <c r="BG149" s="1"/>
  <c r="BR148"/>
  <c r="BG148" s="1"/>
  <c r="BR147"/>
  <c r="BG147" s="1"/>
  <c r="BR146"/>
  <c r="BG146" s="1"/>
  <c r="BR145"/>
  <c r="BR142"/>
  <c r="BG142" s="1"/>
  <c r="BR141"/>
  <c r="BG141" s="1"/>
  <c r="BR140"/>
  <c r="BG140" s="1"/>
  <c r="BR139"/>
  <c r="BG139" s="1"/>
  <c r="BR138"/>
  <c r="BG138" s="1"/>
  <c r="BR136"/>
  <c r="BG136" s="1"/>
  <c r="BR135"/>
  <c r="BG135" s="1"/>
  <c r="BR134"/>
  <c r="BG134" s="1"/>
  <c r="BR133"/>
  <c r="BG133" s="1"/>
  <c r="BR131"/>
  <c r="BG131" s="1"/>
  <c r="BR130"/>
  <c r="BG130" s="1"/>
  <c r="BR129"/>
  <c r="BG129" s="1"/>
  <c r="BR128"/>
  <c r="BG128" s="1"/>
  <c r="BR127"/>
  <c r="BG127" s="1"/>
  <c r="BR126"/>
  <c r="BG126" s="1"/>
  <c r="BR125"/>
  <c r="BG125" s="1"/>
  <c r="BR124"/>
  <c r="BG124" s="1"/>
  <c r="BR123"/>
  <c r="BG123" s="1"/>
  <c r="BR122"/>
  <c r="BG122" s="1"/>
  <c r="BR121"/>
  <c r="BG121" s="1"/>
  <c r="BR120"/>
  <c r="BG120" s="1"/>
  <c r="BR119"/>
  <c r="BR117"/>
  <c r="BG117" s="1"/>
  <c r="BR114"/>
  <c r="BG114" s="1"/>
  <c r="BR113"/>
  <c r="BG113" s="1"/>
  <c r="BR112"/>
  <c r="BG112" s="1"/>
  <c r="BR111"/>
  <c r="BG111" s="1"/>
  <c r="BR109"/>
  <c r="BG109" s="1"/>
  <c r="BR108"/>
  <c r="BG108" s="1"/>
  <c r="BR107"/>
  <c r="BG107" s="1"/>
  <c r="BR106"/>
  <c r="BG106" s="1"/>
  <c r="BR105"/>
  <c r="BG105" s="1"/>
  <c r="BR103"/>
  <c r="BG103" s="1"/>
  <c r="BR102"/>
  <c r="BG102" s="1"/>
  <c r="BR101"/>
  <c r="BG101" s="1"/>
  <c r="BR100"/>
  <c r="BR99"/>
  <c r="BG99" s="1"/>
  <c r="BR98"/>
  <c r="BG98" s="1"/>
  <c r="BR97"/>
  <c r="BG97" s="1"/>
  <c r="BR96"/>
  <c r="BG96" s="1"/>
  <c r="BR95"/>
  <c r="BG95" s="1"/>
  <c r="BR94"/>
  <c r="BR93"/>
  <c r="BG93" s="1"/>
  <c r="BR92"/>
  <c r="BG92" s="1"/>
  <c r="BR91"/>
  <c r="BG91" s="1"/>
  <c r="BR90"/>
  <c r="BG90" s="1"/>
  <c r="BR89"/>
  <c r="BG89" s="1"/>
  <c r="BR88"/>
  <c r="BG88" s="1"/>
  <c r="BR87"/>
  <c r="BG87" s="1"/>
  <c r="BR86"/>
  <c r="BG86" s="1"/>
  <c r="BR85"/>
  <c r="BG85" s="1"/>
  <c r="BR84"/>
  <c r="BG84" s="1"/>
  <c r="BR83"/>
  <c r="BG83" s="1"/>
  <c r="BR82"/>
  <c r="BG82" s="1"/>
  <c r="BR81"/>
  <c r="BG81" s="1"/>
  <c r="BR80"/>
  <c r="BG80" s="1"/>
  <c r="BR79"/>
  <c r="BG79" s="1"/>
  <c r="BR78"/>
  <c r="BG78" s="1"/>
  <c r="BR77"/>
  <c r="BG77" s="1"/>
  <c r="BR72"/>
  <c r="BG72" s="1"/>
  <c r="BR71"/>
  <c r="BG71" s="1"/>
  <c r="BR70"/>
  <c r="BG70" s="1"/>
  <c r="BR69"/>
  <c r="BG69" s="1"/>
  <c r="BR68"/>
  <c r="BG68" s="1"/>
  <c r="BR67"/>
  <c r="BG67" s="1"/>
  <c r="BR66"/>
  <c r="BG66" s="1"/>
  <c r="BR65"/>
  <c r="BG65" s="1"/>
  <c r="BR64"/>
  <c r="BG64" s="1"/>
  <c r="BR63"/>
  <c r="BG63" s="1"/>
  <c r="BR62"/>
  <c r="BG62" s="1"/>
  <c r="BR61"/>
  <c r="BG61" s="1"/>
  <c r="BR60"/>
  <c r="BR59"/>
  <c r="BG59" s="1"/>
  <c r="BR58"/>
  <c r="BG58" s="1"/>
  <c r="BR57"/>
  <c r="BG57" s="1"/>
  <c r="BR56"/>
  <c r="BG56" s="1"/>
  <c r="BR55"/>
  <c r="BG55" s="1"/>
  <c r="BR54"/>
  <c r="BG54" s="1"/>
  <c r="BR53"/>
  <c r="BG53" s="1"/>
  <c r="BR52"/>
  <c r="BG52" s="1"/>
  <c r="BR51"/>
  <c r="BG51" s="1"/>
  <c r="BR50"/>
  <c r="BG50" s="1"/>
  <c r="BR49"/>
  <c r="BG49" s="1"/>
  <c r="BR48"/>
  <c r="BG48" s="1"/>
  <c r="BR47"/>
  <c r="BG47" s="1"/>
  <c r="BR46"/>
  <c r="BG46" s="1"/>
  <c r="BR45"/>
  <c r="BG45" s="1"/>
  <c r="BR44"/>
  <c r="BG44" s="1"/>
  <c r="BR43"/>
  <c r="BG43" s="1"/>
  <c r="BR42"/>
  <c r="BG42" s="1"/>
  <c r="BR41"/>
  <c r="BG41" s="1"/>
  <c r="BR40"/>
  <c r="BG40" s="1"/>
  <c r="BR39"/>
  <c r="BG39" s="1"/>
  <c r="BR38"/>
  <c r="BG38" s="1"/>
  <c r="BR35"/>
  <c r="BG35" s="1"/>
  <c r="BG151"/>
  <c r="BG145"/>
  <c r="BG119"/>
  <c r="BG94"/>
  <c r="BG60"/>
  <c r="BC152"/>
  <c r="BC151"/>
  <c r="BC150"/>
  <c r="BC149"/>
  <c r="BC148"/>
  <c r="BC147"/>
  <c r="BC146"/>
  <c r="BC145"/>
  <c r="BC142"/>
  <c r="BC141"/>
  <c r="BC140"/>
  <c r="BC139"/>
  <c r="BC138"/>
  <c r="BC136"/>
  <c r="BC135"/>
  <c r="BC134"/>
  <c r="BC133"/>
  <c r="BC131"/>
  <c r="BC130"/>
  <c r="BC129"/>
  <c r="BC128"/>
  <c r="BC127"/>
  <c r="BC126"/>
  <c r="BC125"/>
  <c r="BC124"/>
  <c r="BC123"/>
  <c r="BC122"/>
  <c r="BC121"/>
  <c r="BC120"/>
  <c r="BC119"/>
  <c r="BC117"/>
  <c r="BC114"/>
  <c r="BC113"/>
  <c r="BC112"/>
  <c r="BC111"/>
  <c r="BC109"/>
  <c r="BC108"/>
  <c r="BC107"/>
  <c r="BC106"/>
  <c r="BC105"/>
  <c r="BC103"/>
  <c r="BC102"/>
  <c r="BC101"/>
  <c r="BC100"/>
  <c r="BC99"/>
  <c r="BC98"/>
  <c r="BC97"/>
  <c r="BC96"/>
  <c r="BC95"/>
  <c r="BC94"/>
  <c r="BC93"/>
  <c r="BC92"/>
  <c r="BC91"/>
  <c r="BC90"/>
  <c r="BC89"/>
  <c r="BC88"/>
  <c r="BC87"/>
  <c r="BC86"/>
  <c r="BC85"/>
  <c r="BC84"/>
  <c r="BC83"/>
  <c r="BC82"/>
  <c r="BC81"/>
  <c r="BC80"/>
  <c r="BC79"/>
  <c r="BC78"/>
  <c r="BC77"/>
  <c r="BC72"/>
  <c r="BC71"/>
  <c r="BC70"/>
  <c r="BC69"/>
  <c r="BC68"/>
  <c r="BC67"/>
  <c r="BC66"/>
  <c r="BC65"/>
  <c r="BC64"/>
  <c r="BC63"/>
  <c r="BC62"/>
  <c r="BC61"/>
  <c r="BC60"/>
  <c r="BC59"/>
  <c r="BC58"/>
  <c r="BC57"/>
  <c r="BC56"/>
  <c r="BC55"/>
  <c r="BC54"/>
  <c r="BC53"/>
  <c r="BC52"/>
  <c r="BC51"/>
  <c r="BC50"/>
  <c r="BC49"/>
  <c r="BC48"/>
  <c r="BC47"/>
  <c r="BC46"/>
  <c r="BC45"/>
  <c r="BC44"/>
  <c r="BC43"/>
  <c r="BC42"/>
  <c r="BC41"/>
  <c r="BC40"/>
  <c r="BC39"/>
  <c r="BC38"/>
  <c r="BC35"/>
  <c r="AZ152"/>
  <c r="AZ151"/>
  <c r="AZ150"/>
  <c r="AZ149"/>
  <c r="AZ148"/>
  <c r="AZ147"/>
  <c r="AZ146"/>
  <c r="AZ145"/>
  <c r="AZ142"/>
  <c r="AZ141"/>
  <c r="AZ140"/>
  <c r="AZ139"/>
  <c r="AZ138"/>
  <c r="AZ136"/>
  <c r="AZ135"/>
  <c r="AZ134"/>
  <c r="AZ133"/>
  <c r="AZ131"/>
  <c r="AZ130"/>
  <c r="AZ129"/>
  <c r="AZ128"/>
  <c r="AZ127"/>
  <c r="AZ126"/>
  <c r="AZ125"/>
  <c r="AZ124"/>
  <c r="AZ123"/>
  <c r="AZ122"/>
  <c r="AZ121"/>
  <c r="AZ120"/>
  <c r="AZ119"/>
  <c r="AZ117"/>
  <c r="AZ114"/>
  <c r="AZ113"/>
  <c r="AZ112"/>
  <c r="AZ111"/>
  <c r="AZ109"/>
  <c r="AZ108"/>
  <c r="AZ107"/>
  <c r="AZ106"/>
  <c r="AZ105"/>
  <c r="AZ103"/>
  <c r="AZ102"/>
  <c r="AZ101"/>
  <c r="AZ100"/>
  <c r="AZ99"/>
  <c r="AZ98"/>
  <c r="AZ97"/>
  <c r="AZ96"/>
  <c r="AZ95"/>
  <c r="AZ94"/>
  <c r="AZ93"/>
  <c r="AZ92"/>
  <c r="AZ91"/>
  <c r="AZ90"/>
  <c r="AZ89"/>
  <c r="AZ88"/>
  <c r="AZ87"/>
  <c r="AZ86"/>
  <c r="AZ85"/>
  <c r="AZ84"/>
  <c r="AZ83"/>
  <c r="AZ82"/>
  <c r="AZ81"/>
  <c r="AZ80"/>
  <c r="AZ79"/>
  <c r="AZ78"/>
  <c r="AZ77"/>
  <c r="AZ72"/>
  <c r="AZ71"/>
  <c r="AZ70"/>
  <c r="AZ69"/>
  <c r="AZ68"/>
  <c r="AZ67"/>
  <c r="AZ66"/>
  <c r="AZ65"/>
  <c r="AZ64"/>
  <c r="AZ63"/>
  <c r="AZ62"/>
  <c r="AZ61"/>
  <c r="AZ60"/>
  <c r="AZ59"/>
  <c r="AZ58"/>
  <c r="AZ57"/>
  <c r="AZ56"/>
  <c r="AZ55"/>
  <c r="AZ54"/>
  <c r="AZ53"/>
  <c r="AZ52"/>
  <c r="AZ51"/>
  <c r="AZ50"/>
  <c r="AZ49"/>
  <c r="AZ48"/>
  <c r="AZ47"/>
  <c r="AZ46"/>
  <c r="AZ45"/>
  <c r="AZ44"/>
  <c r="AZ43"/>
  <c r="AZ42"/>
  <c r="AZ41"/>
  <c r="AZ40"/>
  <c r="AZ39"/>
  <c r="AZ38"/>
  <c r="AZ35"/>
  <c r="S54"/>
  <c r="S37" s="1"/>
  <c r="T54"/>
  <c r="T37" s="1"/>
  <c r="U54"/>
  <c r="U37" s="1"/>
  <c r="V54"/>
  <c r="V37" s="1"/>
  <c r="W54"/>
  <c r="W37" s="1"/>
  <c r="X54"/>
  <c r="X37" s="1"/>
  <c r="Y54"/>
  <c r="Y37" s="1"/>
  <c r="Z54"/>
  <c r="Z37" s="1"/>
  <c r="AA54"/>
  <c r="AA37" s="1"/>
  <c r="AB54"/>
  <c r="AB37" s="1"/>
  <c r="AC54"/>
  <c r="AC37" s="1"/>
  <c r="AD54"/>
  <c r="AD37" s="1"/>
  <c r="AE54"/>
  <c r="AE37" s="1"/>
  <c r="AF54"/>
  <c r="AF37" s="1"/>
  <c r="AG54"/>
  <c r="AG37" s="1"/>
  <c r="AH54"/>
  <c r="AH37" s="1"/>
  <c r="AI54"/>
  <c r="AI37" s="1"/>
  <c r="AJ54"/>
  <c r="AJ37" s="1"/>
  <c r="AK54"/>
  <c r="AK37" s="1"/>
  <c r="AL54"/>
  <c r="AL37" s="1"/>
  <c r="AM54"/>
  <c r="AM37" s="1"/>
  <c r="AN54"/>
  <c r="AN37" s="1"/>
  <c r="AO54"/>
  <c r="AO37" s="1"/>
  <c r="AP54"/>
  <c r="AP37" s="1"/>
  <c r="AQ54"/>
  <c r="AQ37" s="1"/>
  <c r="AR54"/>
  <c r="AR37" s="1"/>
  <c r="AS54"/>
  <c r="AS37" s="1"/>
  <c r="AT54"/>
  <c r="AT37" s="1"/>
  <c r="AU54"/>
  <c r="AU37" s="1"/>
  <c r="AV54"/>
  <c r="AV37" s="1"/>
  <c r="AW54"/>
  <c r="AW37" s="1"/>
  <c r="AX54"/>
  <c r="AX37" s="1"/>
  <c r="AY54"/>
  <c r="AY37" s="1"/>
  <c r="E37"/>
  <c r="F37"/>
  <c r="G37"/>
  <c r="H37"/>
  <c r="I37"/>
  <c r="J37"/>
  <c r="K37"/>
  <c r="L37"/>
  <c r="M37"/>
  <c r="N37"/>
  <c r="O37"/>
  <c r="P37"/>
  <c r="C38" l="1"/>
  <c r="BY38" s="1"/>
  <c r="AZ37"/>
  <c r="BR104"/>
  <c r="BG104" s="1"/>
  <c r="BY67"/>
  <c r="BY113"/>
  <c r="BY138"/>
  <c r="BY152"/>
  <c r="BY71"/>
  <c r="BY43"/>
  <c r="BY142"/>
  <c r="BY133"/>
  <c r="BC37"/>
  <c r="BY134"/>
  <c r="BY41"/>
  <c r="BY45"/>
  <c r="BY49"/>
  <c r="BY53"/>
  <c r="BY77"/>
  <c r="BY105"/>
  <c r="BY35"/>
  <c r="BY125"/>
  <c r="BY129"/>
  <c r="Q104"/>
  <c r="BY57"/>
  <c r="BY61"/>
  <c r="BY65"/>
  <c r="BY69"/>
  <c r="BY117"/>
  <c r="BY122"/>
  <c r="BY126"/>
  <c r="BY130"/>
  <c r="BY44"/>
  <c r="BY60"/>
  <c r="BY145"/>
  <c r="BY102"/>
  <c r="BY127"/>
  <c r="BY141"/>
  <c r="BY147"/>
  <c r="BY151"/>
  <c r="BY39"/>
  <c r="BY47"/>
  <c r="BY51"/>
  <c r="Q54"/>
  <c r="BY56"/>
  <c r="BY68"/>
  <c r="BY101"/>
  <c r="BY114"/>
  <c r="BY139"/>
  <c r="BY108"/>
  <c r="BY112"/>
  <c r="BY135"/>
  <c r="BY52"/>
  <c r="BY64"/>
  <c r="BY109"/>
  <c r="D37"/>
  <c r="C37" s="1"/>
  <c r="BY119"/>
  <c r="BY123"/>
  <c r="BY131"/>
  <c r="Q37"/>
  <c r="BY40"/>
  <c r="BY48"/>
  <c r="BY72"/>
  <c r="BY106"/>
  <c r="BZ37"/>
  <c r="BY55"/>
  <c r="BY59"/>
  <c r="BY63"/>
  <c r="BR37"/>
  <c r="BG37" s="1"/>
  <c r="C104"/>
  <c r="BC104"/>
  <c r="BY42"/>
  <c r="BY46"/>
  <c r="BY50"/>
  <c r="BY58"/>
  <c r="BY62"/>
  <c r="BY66"/>
  <c r="BY103"/>
  <c r="BY107"/>
  <c r="BY120"/>
  <c r="BY128"/>
  <c r="BY136"/>
  <c r="BY140"/>
  <c r="BY146"/>
  <c r="BY150"/>
  <c r="BG143" l="1"/>
  <c r="BY143" s="1"/>
  <c r="BY104"/>
  <c r="D137"/>
  <c r="E137"/>
  <c r="F137"/>
  <c r="G137"/>
  <c r="H137"/>
  <c r="I137"/>
  <c r="J137"/>
  <c r="K137"/>
  <c r="L137"/>
  <c r="M137"/>
  <c r="N137"/>
  <c r="O137"/>
  <c r="P137"/>
  <c r="R137"/>
  <c r="S137"/>
  <c r="T137"/>
  <c r="U137"/>
  <c r="V137"/>
  <c r="W137"/>
  <c r="X137"/>
  <c r="Y137"/>
  <c r="Z137"/>
  <c r="AA137"/>
  <c r="AB137"/>
  <c r="AC137"/>
  <c r="AD137"/>
  <c r="AE137"/>
  <c r="AF137"/>
  <c r="AG137"/>
  <c r="AH137"/>
  <c r="AI137"/>
  <c r="AJ137"/>
  <c r="AK137"/>
  <c r="AL137"/>
  <c r="AM137"/>
  <c r="AN137"/>
  <c r="AO137"/>
  <c r="AP137"/>
  <c r="AQ137"/>
  <c r="AR137"/>
  <c r="AS137"/>
  <c r="AT137"/>
  <c r="AU137"/>
  <c r="AV137"/>
  <c r="AW137"/>
  <c r="AX137"/>
  <c r="AY137"/>
  <c r="BA137"/>
  <c r="BB137"/>
  <c r="BD137"/>
  <c r="BE137"/>
  <c r="BF137"/>
  <c r="BI137"/>
  <c r="BJ137"/>
  <c r="BK137"/>
  <c r="BL137"/>
  <c r="BM137"/>
  <c r="BN137"/>
  <c r="BO137"/>
  <c r="BP137"/>
  <c r="BQ137"/>
  <c r="BS137"/>
  <c r="BT137"/>
  <c r="BU137"/>
  <c r="BV137"/>
  <c r="BW137"/>
  <c r="BX137"/>
  <c r="CA137"/>
  <c r="CB137"/>
  <c r="C137" l="1"/>
  <c r="BZ137"/>
  <c r="AZ137"/>
  <c r="BR137"/>
  <c r="BG137" s="1"/>
  <c r="BC137"/>
  <c r="Q137"/>
  <c r="BC193" i="15"/>
  <c r="BB193"/>
  <c r="BA193"/>
  <c r="AZ193"/>
  <c r="AY193"/>
  <c r="AX193"/>
  <c r="AW193"/>
  <c r="AV193"/>
  <c r="AU193"/>
  <c r="AT193"/>
  <c r="AS193"/>
  <c r="AR193"/>
  <c r="AC193"/>
  <c r="AP193" s="1"/>
  <c r="AB193"/>
  <c r="AO193" s="1"/>
  <c r="AA193"/>
  <c r="AN193" s="1"/>
  <c r="Z193"/>
  <c r="AM193" s="1"/>
  <c r="Y193"/>
  <c r="AL193" s="1"/>
  <c r="X193"/>
  <c r="AK193" s="1"/>
  <c r="W193"/>
  <c r="AJ193" s="1"/>
  <c r="V193"/>
  <c r="AI193" s="1"/>
  <c r="U193"/>
  <c r="AH193" s="1"/>
  <c r="T193"/>
  <c r="AG193" s="1"/>
  <c r="S193"/>
  <c r="AF193" s="1"/>
  <c r="R193"/>
  <c r="AE193" s="1"/>
  <c r="AQ193" s="1"/>
  <c r="BC192"/>
  <c r="BB192"/>
  <c r="BA192"/>
  <c r="AZ192"/>
  <c r="AY192"/>
  <c r="AX192"/>
  <c r="AW192"/>
  <c r="AV192"/>
  <c r="AU192"/>
  <c r="AT192"/>
  <c r="AS192"/>
  <c r="AR192"/>
  <c r="AC192"/>
  <c r="AP192" s="1"/>
  <c r="AB192"/>
  <c r="AO192" s="1"/>
  <c r="AA192"/>
  <c r="AN192" s="1"/>
  <c r="Z192"/>
  <c r="AM192" s="1"/>
  <c r="Y192"/>
  <c r="AL192" s="1"/>
  <c r="X192"/>
  <c r="AK192" s="1"/>
  <c r="W192"/>
  <c r="AJ192" s="1"/>
  <c r="V192"/>
  <c r="AI192" s="1"/>
  <c r="U192"/>
  <c r="AH192" s="1"/>
  <c r="T192"/>
  <c r="AG192" s="1"/>
  <c r="S192"/>
  <c r="AF192" s="1"/>
  <c r="R192"/>
  <c r="AE192" s="1"/>
  <c r="AQ192" s="1"/>
  <c r="BC191"/>
  <c r="BC23" s="1"/>
  <c r="BB191"/>
  <c r="BA191"/>
  <c r="BA23" s="1"/>
  <c r="AZ191"/>
  <c r="AY191"/>
  <c r="AY23" s="1"/>
  <c r="AX191"/>
  <c r="AW191"/>
  <c r="AW23" s="1"/>
  <c r="AV191"/>
  <c r="AU191"/>
  <c r="AU23" s="1"/>
  <c r="AT191"/>
  <c r="AS191"/>
  <c r="AS23" s="1"/>
  <c r="AR191"/>
  <c r="AC191"/>
  <c r="AP191" s="1"/>
  <c r="AP23" s="1"/>
  <c r="M95" i="9" s="1"/>
  <c r="AB191" i="15"/>
  <c r="AO191" s="1"/>
  <c r="AA191"/>
  <c r="AN191" s="1"/>
  <c r="Z191"/>
  <c r="AM191" s="1"/>
  <c r="Y191"/>
  <c r="AL191" s="1"/>
  <c r="AL23" s="1"/>
  <c r="I95" i="9" s="1"/>
  <c r="X191" i="15"/>
  <c r="AK191" s="1"/>
  <c r="W191"/>
  <c r="AJ191" s="1"/>
  <c r="AJ23" s="1"/>
  <c r="G95" i="9" s="1"/>
  <c r="V191" i="15"/>
  <c r="AI191" s="1"/>
  <c r="U191"/>
  <c r="AH191" s="1"/>
  <c r="AH23" s="1"/>
  <c r="E95" i="9" s="1"/>
  <c r="T191" i="15"/>
  <c r="AG191" s="1"/>
  <c r="S191"/>
  <c r="AF191" s="1"/>
  <c r="AF23" s="1"/>
  <c r="O95" i="9" s="1"/>
  <c r="R191" i="15"/>
  <c r="AE191" s="1"/>
  <c r="AQ191" s="1"/>
  <c r="BC188"/>
  <c r="BB188"/>
  <c r="BA188"/>
  <c r="AZ188"/>
  <c r="AY188"/>
  <c r="AX188"/>
  <c r="AW188"/>
  <c r="AV188"/>
  <c r="AU188"/>
  <c r="AT188"/>
  <c r="AS188"/>
  <c r="AR188"/>
  <c r="AC188"/>
  <c r="AP188" s="1"/>
  <c r="AB188"/>
  <c r="AO188" s="1"/>
  <c r="AA188"/>
  <c r="AN188" s="1"/>
  <c r="Z188"/>
  <c r="AM188" s="1"/>
  <c r="Y188"/>
  <c r="AL188" s="1"/>
  <c r="X188"/>
  <c r="AK188" s="1"/>
  <c r="W188"/>
  <c r="AJ188" s="1"/>
  <c r="V188"/>
  <c r="AI188" s="1"/>
  <c r="U188"/>
  <c r="AH188" s="1"/>
  <c r="T188"/>
  <c r="AG188" s="1"/>
  <c r="S188"/>
  <c r="AF188" s="1"/>
  <c r="R188"/>
  <c r="AE188" s="1"/>
  <c r="AQ188" s="1"/>
  <c r="BC187"/>
  <c r="BB187"/>
  <c r="BA187"/>
  <c r="AZ187"/>
  <c r="AY187"/>
  <c r="AX187"/>
  <c r="AW187"/>
  <c r="AV187"/>
  <c r="AU187"/>
  <c r="AT187"/>
  <c r="AS187"/>
  <c r="AR187"/>
  <c r="AC187"/>
  <c r="AP187" s="1"/>
  <c r="AB187"/>
  <c r="AO187" s="1"/>
  <c r="AA187"/>
  <c r="AN187" s="1"/>
  <c r="Z187"/>
  <c r="AM187" s="1"/>
  <c r="Y187"/>
  <c r="AL187" s="1"/>
  <c r="X187"/>
  <c r="AK187" s="1"/>
  <c r="W187"/>
  <c r="AJ187" s="1"/>
  <c r="V187"/>
  <c r="AI187" s="1"/>
  <c r="U187"/>
  <c r="AH187" s="1"/>
  <c r="T187"/>
  <c r="AG187" s="1"/>
  <c r="S187"/>
  <c r="AF187" s="1"/>
  <c r="R187"/>
  <c r="AE187" s="1"/>
  <c r="AQ187" s="1"/>
  <c r="BC186"/>
  <c r="BB186"/>
  <c r="BA186"/>
  <c r="AZ186"/>
  <c r="AY186"/>
  <c r="AX186"/>
  <c r="AW186"/>
  <c r="AV186"/>
  <c r="AU186"/>
  <c r="AT186"/>
  <c r="AS186"/>
  <c r="AR186"/>
  <c r="AC186"/>
  <c r="AP186" s="1"/>
  <c r="AB186"/>
  <c r="AO186" s="1"/>
  <c r="AA186"/>
  <c r="AN186" s="1"/>
  <c r="Z186"/>
  <c r="AM186" s="1"/>
  <c r="Y186"/>
  <c r="AL186" s="1"/>
  <c r="X186"/>
  <c r="AK186" s="1"/>
  <c r="W186"/>
  <c r="AJ186" s="1"/>
  <c r="V186"/>
  <c r="AI186" s="1"/>
  <c r="U186"/>
  <c r="AH186" s="1"/>
  <c r="T186"/>
  <c r="AG186" s="1"/>
  <c r="S186"/>
  <c r="AF186" s="1"/>
  <c r="R186"/>
  <c r="AE186" s="1"/>
  <c r="AQ186" s="1"/>
  <c r="BC185"/>
  <c r="BB185"/>
  <c r="BA185"/>
  <c r="AZ185"/>
  <c r="AY185"/>
  <c r="AX185"/>
  <c r="AW185"/>
  <c r="AV185"/>
  <c r="AU185"/>
  <c r="AT185"/>
  <c r="AS185"/>
  <c r="AR185"/>
  <c r="AC185"/>
  <c r="AP185" s="1"/>
  <c r="AB185"/>
  <c r="AO185" s="1"/>
  <c r="AA185"/>
  <c r="AN185" s="1"/>
  <c r="Z185"/>
  <c r="AM185" s="1"/>
  <c r="Y185"/>
  <c r="AL185" s="1"/>
  <c r="X185"/>
  <c r="AK185" s="1"/>
  <c r="W185"/>
  <c r="AJ185" s="1"/>
  <c r="V185"/>
  <c r="AI185" s="1"/>
  <c r="U185"/>
  <c r="AH185" s="1"/>
  <c r="T185"/>
  <c r="AG185" s="1"/>
  <c r="S185"/>
  <c r="AF185" s="1"/>
  <c r="R185"/>
  <c r="AE185" s="1"/>
  <c r="AQ185" s="1"/>
  <c r="BC184"/>
  <c r="BB184"/>
  <c r="BA184"/>
  <c r="AZ184"/>
  <c r="AY184"/>
  <c r="AX184"/>
  <c r="AW184"/>
  <c r="AV184"/>
  <c r="AU184"/>
  <c r="AT184"/>
  <c r="AS184"/>
  <c r="AR184"/>
  <c r="AC184"/>
  <c r="AP184" s="1"/>
  <c r="AB184"/>
  <c r="AO184" s="1"/>
  <c r="AA184"/>
  <c r="AN184" s="1"/>
  <c r="Z184"/>
  <c r="AM184" s="1"/>
  <c r="Y184"/>
  <c r="AL184" s="1"/>
  <c r="X184"/>
  <c r="AK184" s="1"/>
  <c r="W184"/>
  <c r="AJ184" s="1"/>
  <c r="V184"/>
  <c r="AI184" s="1"/>
  <c r="U184"/>
  <c r="AH184" s="1"/>
  <c r="T184"/>
  <c r="AG184" s="1"/>
  <c r="S184"/>
  <c r="AF184" s="1"/>
  <c r="R184"/>
  <c r="AE184" s="1"/>
  <c r="AQ184" s="1"/>
  <c r="BC183"/>
  <c r="BB183"/>
  <c r="BA183"/>
  <c r="AZ183"/>
  <c r="AY183"/>
  <c r="AX183"/>
  <c r="AW183"/>
  <c r="AV183"/>
  <c r="AU183"/>
  <c r="AT183"/>
  <c r="AS183"/>
  <c r="AR183"/>
  <c r="AC183"/>
  <c r="AP183" s="1"/>
  <c r="AB183"/>
  <c r="AO183" s="1"/>
  <c r="AA183"/>
  <c r="AN183" s="1"/>
  <c r="Z183"/>
  <c r="AM183" s="1"/>
  <c r="Y183"/>
  <c r="AL183" s="1"/>
  <c r="X183"/>
  <c r="AK183" s="1"/>
  <c r="W183"/>
  <c r="AJ183" s="1"/>
  <c r="V183"/>
  <c r="AI183" s="1"/>
  <c r="U183"/>
  <c r="AH183" s="1"/>
  <c r="T183"/>
  <c r="AG183" s="1"/>
  <c r="S183"/>
  <c r="AF183" s="1"/>
  <c r="R183"/>
  <c r="AE183" s="1"/>
  <c r="AQ183" s="1"/>
  <c r="BC182"/>
  <c r="BB182"/>
  <c r="BA182"/>
  <c r="AZ182"/>
  <c r="AY182"/>
  <c r="AX182"/>
  <c r="AW182"/>
  <c r="AV182"/>
  <c r="AU182"/>
  <c r="AT182"/>
  <c r="AS182"/>
  <c r="AR182"/>
  <c r="AC182"/>
  <c r="AP182" s="1"/>
  <c r="AB182"/>
  <c r="AO182" s="1"/>
  <c r="AA182"/>
  <c r="AN182" s="1"/>
  <c r="Z182"/>
  <c r="AM182" s="1"/>
  <c r="Y182"/>
  <c r="AL182" s="1"/>
  <c r="X182"/>
  <c r="AK182" s="1"/>
  <c r="W182"/>
  <c r="AJ182" s="1"/>
  <c r="V182"/>
  <c r="AI182" s="1"/>
  <c r="U182"/>
  <c r="AH182" s="1"/>
  <c r="T182"/>
  <c r="AG182" s="1"/>
  <c r="S182"/>
  <c r="AF182" s="1"/>
  <c r="R182"/>
  <c r="AE182" s="1"/>
  <c r="AQ182" s="1"/>
  <c r="BC181"/>
  <c r="BB181"/>
  <c r="BA181"/>
  <c r="AZ181"/>
  <c r="AY181"/>
  <c r="AX181"/>
  <c r="AW181"/>
  <c r="AV181"/>
  <c r="AU181"/>
  <c r="AT181"/>
  <c r="AS181"/>
  <c r="AR181"/>
  <c r="AC181"/>
  <c r="AP181" s="1"/>
  <c r="AB181"/>
  <c r="AO181" s="1"/>
  <c r="AA181"/>
  <c r="AN181" s="1"/>
  <c r="Z181"/>
  <c r="AM181" s="1"/>
  <c r="Y181"/>
  <c r="AL181" s="1"/>
  <c r="X181"/>
  <c r="AK181" s="1"/>
  <c r="W181"/>
  <c r="AJ181" s="1"/>
  <c r="V181"/>
  <c r="AI181" s="1"/>
  <c r="U181"/>
  <c r="AH181" s="1"/>
  <c r="T181"/>
  <c r="AG181" s="1"/>
  <c r="S181"/>
  <c r="AF181" s="1"/>
  <c r="R181"/>
  <c r="AE181" s="1"/>
  <c r="AQ181" s="1"/>
  <c r="BC180"/>
  <c r="BB180"/>
  <c r="BA180"/>
  <c r="AZ180"/>
  <c r="AY180"/>
  <c r="AX180"/>
  <c r="AW180"/>
  <c r="AV180"/>
  <c r="AU180"/>
  <c r="AT180"/>
  <c r="AS180"/>
  <c r="AR180"/>
  <c r="AC180"/>
  <c r="AP180" s="1"/>
  <c r="AB180"/>
  <c r="AO180" s="1"/>
  <c r="AA180"/>
  <c r="AN180" s="1"/>
  <c r="Z180"/>
  <c r="AM180" s="1"/>
  <c r="Y180"/>
  <c r="AL180" s="1"/>
  <c r="X180"/>
  <c r="AK180" s="1"/>
  <c r="W180"/>
  <c r="AJ180" s="1"/>
  <c r="V180"/>
  <c r="AI180" s="1"/>
  <c r="U180"/>
  <c r="AH180" s="1"/>
  <c r="T180"/>
  <c r="AG180" s="1"/>
  <c r="S180"/>
  <c r="AF180" s="1"/>
  <c r="R180"/>
  <c r="AE180" s="1"/>
  <c r="AQ180" s="1"/>
  <c r="BC179"/>
  <c r="BB179"/>
  <c r="BA179"/>
  <c r="AZ179"/>
  <c r="AY179"/>
  <c r="AX179"/>
  <c r="AW179"/>
  <c r="AV179"/>
  <c r="AU179"/>
  <c r="AT179"/>
  <c r="AS179"/>
  <c r="AR179"/>
  <c r="AC179"/>
  <c r="AP179" s="1"/>
  <c r="AB179"/>
  <c r="AO179" s="1"/>
  <c r="AA179"/>
  <c r="AN179" s="1"/>
  <c r="Z179"/>
  <c r="AM179" s="1"/>
  <c r="Y179"/>
  <c r="AL179" s="1"/>
  <c r="X179"/>
  <c r="AK179" s="1"/>
  <c r="W179"/>
  <c r="AJ179" s="1"/>
  <c r="V179"/>
  <c r="AI179" s="1"/>
  <c r="U179"/>
  <c r="AH179" s="1"/>
  <c r="T179"/>
  <c r="AG179" s="1"/>
  <c r="S179"/>
  <c r="AF179" s="1"/>
  <c r="R179"/>
  <c r="AE179" s="1"/>
  <c r="AQ179" s="1"/>
  <c r="BC178"/>
  <c r="BB178"/>
  <c r="BA178"/>
  <c r="AZ178"/>
  <c r="AY178"/>
  <c r="AX178"/>
  <c r="AW178"/>
  <c r="AV178"/>
  <c r="AU178"/>
  <c r="AT178"/>
  <c r="AS178"/>
  <c r="AR178"/>
  <c r="AC178"/>
  <c r="AP178" s="1"/>
  <c r="AB178"/>
  <c r="AO178" s="1"/>
  <c r="AA178"/>
  <c r="AN178" s="1"/>
  <c r="Z178"/>
  <c r="AM178" s="1"/>
  <c r="Y178"/>
  <c r="AL178" s="1"/>
  <c r="X178"/>
  <c r="AK178" s="1"/>
  <c r="W178"/>
  <c r="AJ178" s="1"/>
  <c r="V178"/>
  <c r="AI178" s="1"/>
  <c r="U178"/>
  <c r="AH178" s="1"/>
  <c r="T178"/>
  <c r="AG178" s="1"/>
  <c r="S178"/>
  <c r="AF178" s="1"/>
  <c r="R178"/>
  <c r="AE178" s="1"/>
  <c r="AQ178" s="1"/>
  <c r="BC177"/>
  <c r="BB177"/>
  <c r="BA177"/>
  <c r="AZ177"/>
  <c r="AY177"/>
  <c r="AX177"/>
  <c r="AW177"/>
  <c r="AV177"/>
  <c r="AU177"/>
  <c r="AT177"/>
  <c r="AS177"/>
  <c r="AR177"/>
  <c r="AC177"/>
  <c r="AP177" s="1"/>
  <c r="AB177"/>
  <c r="AO177" s="1"/>
  <c r="AA177"/>
  <c r="AN177" s="1"/>
  <c r="Z177"/>
  <c r="AM177" s="1"/>
  <c r="Y177"/>
  <c r="AL177" s="1"/>
  <c r="X177"/>
  <c r="AK177" s="1"/>
  <c r="W177"/>
  <c r="AJ177" s="1"/>
  <c r="V177"/>
  <c r="AI177" s="1"/>
  <c r="U177"/>
  <c r="AH177" s="1"/>
  <c r="T177"/>
  <c r="AG177" s="1"/>
  <c r="S177"/>
  <c r="AF177" s="1"/>
  <c r="R177"/>
  <c r="AE177" s="1"/>
  <c r="AQ177" s="1"/>
  <c r="BC176"/>
  <c r="BB176"/>
  <c r="BA176"/>
  <c r="AZ176"/>
  <c r="AY176"/>
  <c r="AX176"/>
  <c r="AW176"/>
  <c r="AV176"/>
  <c r="AU176"/>
  <c r="AT176"/>
  <c r="AS176"/>
  <c r="AR176"/>
  <c r="AC176"/>
  <c r="AP176" s="1"/>
  <c r="AB176"/>
  <c r="AO176" s="1"/>
  <c r="AA176"/>
  <c r="AN176" s="1"/>
  <c r="Z176"/>
  <c r="AM176" s="1"/>
  <c r="Y176"/>
  <c r="AL176" s="1"/>
  <c r="X176"/>
  <c r="AK176" s="1"/>
  <c r="W176"/>
  <c r="AJ176" s="1"/>
  <c r="V176"/>
  <c r="AI176" s="1"/>
  <c r="U176"/>
  <c r="AH176" s="1"/>
  <c r="T176"/>
  <c r="AG176" s="1"/>
  <c r="S176"/>
  <c r="AF176" s="1"/>
  <c r="R176"/>
  <c r="AE176" s="1"/>
  <c r="AQ176" s="1"/>
  <c r="BC175"/>
  <c r="BB175"/>
  <c r="BA175"/>
  <c r="AZ175"/>
  <c r="AY175"/>
  <c r="AX175"/>
  <c r="AW175"/>
  <c r="AV175"/>
  <c r="AU175"/>
  <c r="AT175"/>
  <c r="AS175"/>
  <c r="AR175"/>
  <c r="AC175"/>
  <c r="AP175" s="1"/>
  <c r="AB175"/>
  <c r="AO175" s="1"/>
  <c r="AA175"/>
  <c r="AN175" s="1"/>
  <c r="Z175"/>
  <c r="AM175" s="1"/>
  <c r="Y175"/>
  <c r="AL175" s="1"/>
  <c r="X175"/>
  <c r="AK175" s="1"/>
  <c r="W175"/>
  <c r="AJ175" s="1"/>
  <c r="V175"/>
  <c r="AI175" s="1"/>
  <c r="U175"/>
  <c r="AH175" s="1"/>
  <c r="T175"/>
  <c r="AG175" s="1"/>
  <c r="S175"/>
  <c r="AF175" s="1"/>
  <c r="R175"/>
  <c r="AE175" s="1"/>
  <c r="AQ175" s="1"/>
  <c r="BC174"/>
  <c r="BB174"/>
  <c r="BA174"/>
  <c r="AZ174"/>
  <c r="AY174"/>
  <c r="AX174"/>
  <c r="AW174"/>
  <c r="AV174"/>
  <c r="AU174"/>
  <c r="AT174"/>
  <c r="AS174"/>
  <c r="AR174"/>
  <c r="AC174"/>
  <c r="AP174" s="1"/>
  <c r="AB174"/>
  <c r="AA174"/>
  <c r="AN174" s="1"/>
  <c r="Z174"/>
  <c r="AM174" s="1"/>
  <c r="Y174"/>
  <c r="AL174" s="1"/>
  <c r="X174"/>
  <c r="AK174" s="1"/>
  <c r="W174"/>
  <c r="AJ174" s="1"/>
  <c r="V174"/>
  <c r="AI174" s="1"/>
  <c r="U174"/>
  <c r="AH174" s="1"/>
  <c r="T174"/>
  <c r="AG174" s="1"/>
  <c r="S174"/>
  <c r="AF174" s="1"/>
  <c r="R174"/>
  <c r="AE174" s="1"/>
  <c r="AQ174" s="1"/>
  <c r="U169"/>
  <c r="T169"/>
  <c r="S169"/>
  <c r="R169"/>
  <c r="Q169"/>
  <c r="P169"/>
  <c r="N169"/>
  <c r="M169"/>
  <c r="L169"/>
  <c r="K169"/>
  <c r="J169"/>
  <c r="I169"/>
  <c r="H169"/>
  <c r="G169"/>
  <c r="F169"/>
  <c r="E169"/>
  <c r="D169"/>
  <c r="U167"/>
  <c r="T167"/>
  <c r="S167"/>
  <c r="R167"/>
  <c r="Q167"/>
  <c r="P167"/>
  <c r="N167"/>
  <c r="M167"/>
  <c r="L167"/>
  <c r="K167"/>
  <c r="J167"/>
  <c r="I167"/>
  <c r="H167"/>
  <c r="G167"/>
  <c r="F167"/>
  <c r="E167"/>
  <c r="D167"/>
  <c r="O166"/>
  <c r="C166"/>
  <c r="O165"/>
  <c r="C165"/>
  <c r="AC164"/>
  <c r="AP164" s="1"/>
  <c r="O164"/>
  <c r="C164"/>
  <c r="AC163"/>
  <c r="AP163" s="1"/>
  <c r="O163"/>
  <c r="C163"/>
  <c r="AC162"/>
  <c r="AP162" s="1"/>
  <c r="O162"/>
  <c r="C162"/>
  <c r="AC161"/>
  <c r="AP161" s="1"/>
  <c r="O161"/>
  <c r="C161"/>
  <c r="AC160"/>
  <c r="AP160" s="1"/>
  <c r="O160"/>
  <c r="C160"/>
  <c r="AC159"/>
  <c r="AP159" s="1"/>
  <c r="O159"/>
  <c r="C159"/>
  <c r="AC158"/>
  <c r="AP158" s="1"/>
  <c r="O158"/>
  <c r="C158"/>
  <c r="AC157"/>
  <c r="AP157" s="1"/>
  <c r="O157"/>
  <c r="C157"/>
  <c r="AC156"/>
  <c r="AP156" s="1"/>
  <c r="O156"/>
  <c r="C156"/>
  <c r="AC155"/>
  <c r="AP155" s="1"/>
  <c r="O155"/>
  <c r="C155"/>
  <c r="AC154"/>
  <c r="AP154" s="1"/>
  <c r="O154"/>
  <c r="C154"/>
  <c r="AC153"/>
  <c r="AP153" s="1"/>
  <c r="O153"/>
  <c r="C153"/>
  <c r="AC152"/>
  <c r="AP152" s="1"/>
  <c r="O152"/>
  <c r="C152"/>
  <c r="AC151"/>
  <c r="AP151" s="1"/>
  <c r="O151"/>
  <c r="C151"/>
  <c r="AC150"/>
  <c r="AP150" s="1"/>
  <c r="O150"/>
  <c r="C150"/>
  <c r="AC149"/>
  <c r="O149"/>
  <c r="AC148"/>
  <c r="AP148" s="1"/>
  <c r="O148"/>
  <c r="AC147"/>
  <c r="AP147" s="1"/>
  <c r="O147"/>
  <c r="AC146"/>
  <c r="O146"/>
  <c r="AC145"/>
  <c r="AP145" s="1"/>
  <c r="O145"/>
  <c r="AC144"/>
  <c r="AP144" s="1"/>
  <c r="O144"/>
  <c r="AC143"/>
  <c r="AP143" s="1"/>
  <c r="O143"/>
  <c r="AC142"/>
  <c r="O142"/>
  <c r="AC141"/>
  <c r="O141"/>
  <c r="AC140"/>
  <c r="O140"/>
  <c r="AC139"/>
  <c r="O139"/>
  <c r="AC138"/>
  <c r="O138"/>
  <c r="AC137"/>
  <c r="O137"/>
  <c r="AC136"/>
  <c r="O136"/>
  <c r="AC135"/>
  <c r="O135"/>
  <c r="AC134"/>
  <c r="O134"/>
  <c r="AC133"/>
  <c r="O133"/>
  <c r="AC132"/>
  <c r="AP132" s="1"/>
  <c r="O132"/>
  <c r="AC131"/>
  <c r="O131"/>
  <c r="AC130"/>
  <c r="AP130" s="1"/>
  <c r="O130"/>
  <c r="AC129"/>
  <c r="O129"/>
  <c r="AC128"/>
  <c r="AP128" s="1"/>
  <c r="O128"/>
  <c r="AC127"/>
  <c r="AP127" s="1"/>
  <c r="O127"/>
  <c r="AC126"/>
  <c r="AP126" s="1"/>
  <c r="O126"/>
  <c r="AC125"/>
  <c r="AP125" s="1"/>
  <c r="O125"/>
  <c r="AC124"/>
  <c r="AP124" s="1"/>
  <c r="O124"/>
  <c r="AC123"/>
  <c r="AP123" s="1"/>
  <c r="O123"/>
  <c r="AC122"/>
  <c r="AP122" s="1"/>
  <c r="O122"/>
  <c r="AC121"/>
  <c r="AP121" s="1"/>
  <c r="O121"/>
  <c r="AC120"/>
  <c r="AP120" s="1"/>
  <c r="O120"/>
  <c r="O119"/>
  <c r="AC117"/>
  <c r="O117"/>
  <c r="AC116"/>
  <c r="O116"/>
  <c r="AC115"/>
  <c r="AP115" s="1"/>
  <c r="O115"/>
  <c r="AC114"/>
  <c r="AP114" s="1"/>
  <c r="O114"/>
  <c r="AC112"/>
  <c r="O112"/>
  <c r="AC111"/>
  <c r="O111"/>
  <c r="AC110"/>
  <c r="O110"/>
  <c r="AP109"/>
  <c r="AC109"/>
  <c r="AE109" s="1"/>
  <c r="O109"/>
  <c r="AC108"/>
  <c r="O108"/>
  <c r="AC107"/>
  <c r="O107"/>
  <c r="AC106"/>
  <c r="O106"/>
  <c r="AC105"/>
  <c r="O105"/>
  <c r="AC104"/>
  <c r="O104"/>
  <c r="AC103"/>
  <c r="O103"/>
  <c r="AC102"/>
  <c r="O102"/>
  <c r="AC100"/>
  <c r="AS100" s="1"/>
  <c r="O100"/>
  <c r="AC99"/>
  <c r="O99"/>
  <c r="AC97"/>
  <c r="AU97" s="1"/>
  <c r="O97"/>
  <c r="AC96"/>
  <c r="AU96" s="1"/>
  <c r="O96"/>
  <c r="AC95"/>
  <c r="O95"/>
  <c r="AC94"/>
  <c r="AU94" s="1"/>
  <c r="O94"/>
  <c r="AC93"/>
  <c r="AU93" s="1"/>
  <c r="O93"/>
  <c r="AC92"/>
  <c r="AU92" s="1"/>
  <c r="O92"/>
  <c r="AC91"/>
  <c r="AU91" s="1"/>
  <c r="O91"/>
  <c r="AC90"/>
  <c r="AU90" s="1"/>
  <c r="O90"/>
  <c r="AC89"/>
  <c r="AU89" s="1"/>
  <c r="O89"/>
  <c r="AC88"/>
  <c r="AU88" s="1"/>
  <c r="O88"/>
  <c r="AC87"/>
  <c r="AU87" s="1"/>
  <c r="O87"/>
  <c r="AC86"/>
  <c r="AU86" s="1"/>
  <c r="O86"/>
  <c r="AC85"/>
  <c r="AU85" s="1"/>
  <c r="O85"/>
  <c r="AC84"/>
  <c r="AU84" s="1"/>
  <c r="O84"/>
  <c r="AC83"/>
  <c r="AU83" s="1"/>
  <c r="O83"/>
  <c r="AC82"/>
  <c r="AU82" s="1"/>
  <c r="O82"/>
  <c r="AC81"/>
  <c r="AU81" s="1"/>
  <c r="O81"/>
  <c r="AC80"/>
  <c r="AU80" s="1"/>
  <c r="O80"/>
  <c r="AC79"/>
  <c r="AU79" s="1"/>
  <c r="O79"/>
  <c r="AC78"/>
  <c r="AU78" s="1"/>
  <c r="O78"/>
  <c r="AC77"/>
  <c r="AU77" s="1"/>
  <c r="O77"/>
  <c r="AC76"/>
  <c r="AU76" s="1"/>
  <c r="O76"/>
  <c r="AC75"/>
  <c r="AU75" s="1"/>
  <c r="O75"/>
  <c r="AC74"/>
  <c r="AU74" s="1"/>
  <c r="O74"/>
  <c r="AC73"/>
  <c r="AU73" s="1"/>
  <c r="O73"/>
  <c r="AC72"/>
  <c r="AU72" s="1"/>
  <c r="O72"/>
  <c r="AC71"/>
  <c r="AU71" s="1"/>
  <c r="O71"/>
  <c r="AC70"/>
  <c r="AU70" s="1"/>
  <c r="O70"/>
  <c r="AC69"/>
  <c r="AU69" s="1"/>
  <c r="O69"/>
  <c r="AC68"/>
  <c r="O68"/>
  <c r="AC67"/>
  <c r="O67"/>
  <c r="AC66"/>
  <c r="O66"/>
  <c r="AC65"/>
  <c r="AU65" s="1"/>
  <c r="O65"/>
  <c r="AC64"/>
  <c r="AE64" s="1"/>
  <c r="O64"/>
  <c r="AC63"/>
  <c r="AE63" s="1"/>
  <c r="O63"/>
  <c r="AC62"/>
  <c r="AP62" s="1"/>
  <c r="O62"/>
  <c r="AC61"/>
  <c r="O61"/>
  <c r="AC60"/>
  <c r="O60"/>
  <c r="AC59"/>
  <c r="O59"/>
  <c r="AC58"/>
  <c r="O58"/>
  <c r="AC57"/>
  <c r="O57"/>
  <c r="AC56"/>
  <c r="O56"/>
  <c r="AC55"/>
  <c r="O55"/>
  <c r="AC54"/>
  <c r="O54"/>
  <c r="AC53"/>
  <c r="O53"/>
  <c r="AC52"/>
  <c r="O52"/>
  <c r="AC51"/>
  <c r="AP51" s="1"/>
  <c r="O51"/>
  <c r="AC50"/>
  <c r="O50"/>
  <c r="AC49"/>
  <c r="O49"/>
  <c r="AC48"/>
  <c r="AD48" s="1"/>
  <c r="O48"/>
  <c r="AC47"/>
  <c r="AP47" s="1"/>
  <c r="O47"/>
  <c r="AC46"/>
  <c r="AP46" s="1"/>
  <c r="O46"/>
  <c r="AC45"/>
  <c r="AP45" s="1"/>
  <c r="O45"/>
  <c r="AC44"/>
  <c r="AD44" s="1"/>
  <c r="O44"/>
  <c r="AC43"/>
  <c r="O43"/>
  <c r="AC42"/>
  <c r="O42"/>
  <c r="AC41"/>
  <c r="AD41" s="1"/>
  <c r="O41"/>
  <c r="AC40"/>
  <c r="AP40" s="1"/>
  <c r="O40"/>
  <c r="AC39"/>
  <c r="O39"/>
  <c r="AC38"/>
  <c r="O38"/>
  <c r="AC37"/>
  <c r="AP37" s="1"/>
  <c r="O37"/>
  <c r="AC36"/>
  <c r="AP36" s="1"/>
  <c r="O36"/>
  <c r="AR7" s="1"/>
  <c r="AC35"/>
  <c r="AP35" s="1"/>
  <c r="O35"/>
  <c r="AQ31"/>
  <c r="AQ101" s="1"/>
  <c r="AR101" s="1"/>
  <c r="AY101" s="1"/>
  <c r="BA101" s="1"/>
  <c r="Z31"/>
  <c r="Y31"/>
  <c r="X31"/>
  <c r="W31"/>
  <c r="V31"/>
  <c r="U31"/>
  <c r="T31"/>
  <c r="S31"/>
  <c r="R31"/>
  <c r="Q31"/>
  <c r="P31"/>
  <c r="P30"/>
  <c r="AZ28"/>
  <c r="BA27"/>
  <c r="AZ27"/>
  <c r="AS27"/>
  <c r="AT27" s="1"/>
  <c r="AW27" s="1"/>
  <c r="AG27"/>
  <c r="AB27"/>
  <c r="BC26"/>
  <c r="BB26"/>
  <c r="BA26"/>
  <c r="AZ26"/>
  <c r="AY26"/>
  <c r="AX26"/>
  <c r="AW26"/>
  <c r="AV26"/>
  <c r="AU26"/>
  <c r="AT26"/>
  <c r="AS26"/>
  <c r="AR26"/>
  <c r="AC26"/>
  <c r="AP26" s="1"/>
  <c r="M98" i="9" s="1"/>
  <c r="AB26" i="15"/>
  <c r="AO26" s="1"/>
  <c r="L98" i="9" s="1"/>
  <c r="AA26" i="15"/>
  <c r="AN26" s="1"/>
  <c r="K98" i="9" s="1"/>
  <c r="Z26" i="15"/>
  <c r="AM26" s="1"/>
  <c r="J98" i="9" s="1"/>
  <c r="Y26" i="15"/>
  <c r="AL26" s="1"/>
  <c r="I98" i="9" s="1"/>
  <c r="X26" i="15"/>
  <c r="AK26" s="1"/>
  <c r="H98" i="9" s="1"/>
  <c r="W26" i="15"/>
  <c r="AJ26" s="1"/>
  <c r="G98" i="9" s="1"/>
  <c r="V26" i="15"/>
  <c r="AI26" s="1"/>
  <c r="F98" i="9" s="1"/>
  <c r="U26" i="15"/>
  <c r="AH26" s="1"/>
  <c r="E98" i="9" s="1"/>
  <c r="T26" i="15"/>
  <c r="AG26" s="1"/>
  <c r="D98" i="9" s="1"/>
  <c r="S26" i="15"/>
  <c r="AF26" s="1"/>
  <c r="O98" i="9" s="1"/>
  <c r="R26" i="15"/>
  <c r="AE26" s="1"/>
  <c r="AQ26" s="1"/>
  <c r="BC25"/>
  <c r="BB25"/>
  <c r="BA25"/>
  <c r="AZ25"/>
  <c r="AY25"/>
  <c r="AX25"/>
  <c r="AW25"/>
  <c r="AV25"/>
  <c r="AU25"/>
  <c r="AT25"/>
  <c r="AS25"/>
  <c r="AR25"/>
  <c r="AC25"/>
  <c r="AP25" s="1"/>
  <c r="M97" i="9" s="1"/>
  <c r="AB25" i="15"/>
  <c r="AO25" s="1"/>
  <c r="L97" i="9" s="1"/>
  <c r="AA25" i="15"/>
  <c r="AN25" s="1"/>
  <c r="K97" i="9" s="1"/>
  <c r="Z25" i="15"/>
  <c r="AM25" s="1"/>
  <c r="J97" i="9" s="1"/>
  <c r="Y25" i="15"/>
  <c r="AL25" s="1"/>
  <c r="I97" i="9" s="1"/>
  <c r="X25" i="15"/>
  <c r="AK25" s="1"/>
  <c r="H97" i="9" s="1"/>
  <c r="W25" i="15"/>
  <c r="AJ25" s="1"/>
  <c r="G97" i="9" s="1"/>
  <c r="V25" i="15"/>
  <c r="AI25" s="1"/>
  <c r="F97" i="9" s="1"/>
  <c r="U25" i="15"/>
  <c r="AH25" s="1"/>
  <c r="E97" i="9" s="1"/>
  <c r="T25" i="15"/>
  <c r="AG25" s="1"/>
  <c r="D97" i="9" s="1"/>
  <c r="S25" i="15"/>
  <c r="AF25" s="1"/>
  <c r="O97" i="9" s="1"/>
  <c r="R25" i="15"/>
  <c r="AE25" s="1"/>
  <c r="AQ25" s="1"/>
  <c r="BC24"/>
  <c r="BB24"/>
  <c r="BA24"/>
  <c r="AZ24"/>
  <c r="AY24"/>
  <c r="AX24"/>
  <c r="AW24"/>
  <c r="AV24"/>
  <c r="AU24"/>
  <c r="AT24"/>
  <c r="AS24"/>
  <c r="AR24"/>
  <c r="AC24"/>
  <c r="AP24" s="1"/>
  <c r="M96" i="9" s="1"/>
  <c r="AB24" i="15"/>
  <c r="AO24" s="1"/>
  <c r="L96" i="9" s="1"/>
  <c r="AA24" i="15"/>
  <c r="AN24" s="1"/>
  <c r="K96" i="9" s="1"/>
  <c r="Z24" i="15"/>
  <c r="AM24" s="1"/>
  <c r="J96" i="9" s="1"/>
  <c r="Y24" i="15"/>
  <c r="AL24" s="1"/>
  <c r="I96" i="9" s="1"/>
  <c r="X24" i="15"/>
  <c r="AK24" s="1"/>
  <c r="H96" i="9" s="1"/>
  <c r="W24" i="15"/>
  <c r="AJ24" s="1"/>
  <c r="G96" i="9" s="1"/>
  <c r="V24" i="15"/>
  <c r="AI24" s="1"/>
  <c r="F96" i="9" s="1"/>
  <c r="U24" i="15"/>
  <c r="AH24" s="1"/>
  <c r="E96" i="9" s="1"/>
  <c r="T24" i="15"/>
  <c r="AG24" s="1"/>
  <c r="D96" i="9" s="1"/>
  <c r="S24" i="15"/>
  <c r="AF24" s="1"/>
  <c r="O96" i="9" s="1"/>
  <c r="R24" i="15"/>
  <c r="AE24" s="1"/>
  <c r="AQ24" s="1"/>
  <c r="BC22"/>
  <c r="BB22"/>
  <c r="BA22"/>
  <c r="AZ22"/>
  <c r="AY22"/>
  <c r="AX22"/>
  <c r="AW22"/>
  <c r="AV22"/>
  <c r="AU22"/>
  <c r="AT22"/>
  <c r="AS22"/>
  <c r="AC22"/>
  <c r="AP22" s="1"/>
  <c r="M94" i="9" s="1"/>
  <c r="AB22" i="15"/>
  <c r="AO22" s="1"/>
  <c r="L94" i="9" s="1"/>
  <c r="AA22" i="15"/>
  <c r="AN22" s="1"/>
  <c r="K94" i="9" s="1"/>
  <c r="Z22" i="15"/>
  <c r="AM22" s="1"/>
  <c r="J94" i="9" s="1"/>
  <c r="Y22" i="15"/>
  <c r="AL22" s="1"/>
  <c r="I94" i="9" s="1"/>
  <c r="X22" i="15"/>
  <c r="AK22" s="1"/>
  <c r="H94" i="9" s="1"/>
  <c r="W22" i="15"/>
  <c r="AJ22" s="1"/>
  <c r="G94" i="9" s="1"/>
  <c r="V22" i="15"/>
  <c r="AI22" s="1"/>
  <c r="F94" i="9" s="1"/>
  <c r="U22" i="15"/>
  <c r="AH22" s="1"/>
  <c r="T22"/>
  <c r="AG22" s="1"/>
  <c r="D94" i="9" s="1"/>
  <c r="S22" i="15"/>
  <c r="AF22" s="1"/>
  <c r="O94" i="9" s="1"/>
  <c r="R22" i="15"/>
  <c r="AE22" s="1"/>
  <c r="AQ22" s="1"/>
  <c r="BC21"/>
  <c r="BB21"/>
  <c r="BA21"/>
  <c r="AZ21"/>
  <c r="AY21"/>
  <c r="AX21"/>
  <c r="AW21"/>
  <c r="AV21"/>
  <c r="AU21"/>
  <c r="AT21"/>
  <c r="AS21"/>
  <c r="AC21"/>
  <c r="AP21" s="1"/>
  <c r="M93" i="9" s="1"/>
  <c r="AB21" i="15"/>
  <c r="AO21" s="1"/>
  <c r="L93" i="9" s="1"/>
  <c r="AA21" i="15"/>
  <c r="AN21" s="1"/>
  <c r="K93" i="9" s="1"/>
  <c r="Z21" i="15"/>
  <c r="AM21" s="1"/>
  <c r="J93" i="9" s="1"/>
  <c r="Y21" i="15"/>
  <c r="AL21" s="1"/>
  <c r="I93" i="9" s="1"/>
  <c r="X21" i="15"/>
  <c r="AK21" s="1"/>
  <c r="H93" i="9" s="1"/>
  <c r="W21" i="15"/>
  <c r="AJ21" s="1"/>
  <c r="G93" i="9" s="1"/>
  <c r="V21" i="15"/>
  <c r="AI21" s="1"/>
  <c r="F93" i="9" s="1"/>
  <c r="U21" i="15"/>
  <c r="AH21" s="1"/>
  <c r="E93" i="9" s="1"/>
  <c r="T21" i="15"/>
  <c r="AG21" s="1"/>
  <c r="S21"/>
  <c r="AF21" s="1"/>
  <c r="O93" i="9" s="1"/>
  <c r="R21" i="15"/>
  <c r="AE21" s="1"/>
  <c r="AQ21" s="1"/>
  <c r="C21"/>
  <c r="BC20"/>
  <c r="BB20"/>
  <c r="BA20"/>
  <c r="AZ20"/>
  <c r="AY20"/>
  <c r="AX20"/>
  <c r="AW20"/>
  <c r="AV20"/>
  <c r="AU20"/>
  <c r="AT20"/>
  <c r="AS20"/>
  <c r="AC20"/>
  <c r="AP20" s="1"/>
  <c r="M92" i="9" s="1"/>
  <c r="AB20" i="15"/>
  <c r="AO20" s="1"/>
  <c r="L92" i="9" s="1"/>
  <c r="AA20" i="15"/>
  <c r="AN20" s="1"/>
  <c r="K92" i="9" s="1"/>
  <c r="Z20" i="15"/>
  <c r="AM20" s="1"/>
  <c r="J92" i="9" s="1"/>
  <c r="Y20" i="15"/>
  <c r="AL20" s="1"/>
  <c r="I92" i="9" s="1"/>
  <c r="X20" i="15"/>
  <c r="AK20" s="1"/>
  <c r="H92" i="9" s="1"/>
  <c r="W20" i="15"/>
  <c r="AJ20" s="1"/>
  <c r="G92" i="9" s="1"/>
  <c r="V20" i="15"/>
  <c r="AI20" s="1"/>
  <c r="F92" i="9" s="1"/>
  <c r="U20" i="15"/>
  <c r="AH20" s="1"/>
  <c r="E92" i="9" s="1"/>
  <c r="T20" i="15"/>
  <c r="AG20" s="1"/>
  <c r="D92" i="9" s="1"/>
  <c r="S20" i="15"/>
  <c r="AF20" s="1"/>
  <c r="O92" i="9" s="1"/>
  <c r="R20" i="15"/>
  <c r="AE20" s="1"/>
  <c r="AQ20" s="1"/>
  <c r="BC19"/>
  <c r="BB19"/>
  <c r="BA19"/>
  <c r="AZ19"/>
  <c r="AY19"/>
  <c r="AX19"/>
  <c r="AW19"/>
  <c r="AV19"/>
  <c r="AU19"/>
  <c r="AT19"/>
  <c r="AS19"/>
  <c r="AC19"/>
  <c r="AP19" s="1"/>
  <c r="AB19"/>
  <c r="AO19" s="1"/>
  <c r="AA19"/>
  <c r="AN19" s="1"/>
  <c r="Z19"/>
  <c r="AM19" s="1"/>
  <c r="Y19"/>
  <c r="AL19" s="1"/>
  <c r="X19"/>
  <c r="AK19" s="1"/>
  <c r="W19"/>
  <c r="AJ19" s="1"/>
  <c r="V19"/>
  <c r="AI19" s="1"/>
  <c r="U19"/>
  <c r="AH19" s="1"/>
  <c r="T19"/>
  <c r="AG19" s="1"/>
  <c r="S19"/>
  <c r="AF19" s="1"/>
  <c r="R19"/>
  <c r="AE19" s="1"/>
  <c r="BC17"/>
  <c r="BB17"/>
  <c r="BA17"/>
  <c r="AZ17"/>
  <c r="AY17"/>
  <c r="AX17"/>
  <c r="AW17"/>
  <c r="AV17"/>
  <c r="AU17"/>
  <c r="AT17"/>
  <c r="AS17"/>
  <c r="AC17"/>
  <c r="AP17" s="1"/>
  <c r="M89" i="9" s="1"/>
  <c r="AB17" i="15"/>
  <c r="AO17" s="1"/>
  <c r="L89" i="9" s="1"/>
  <c r="AA17" i="15"/>
  <c r="AN17" s="1"/>
  <c r="K89" i="9" s="1"/>
  <c r="Z17" i="15"/>
  <c r="AM17" s="1"/>
  <c r="J89" i="9" s="1"/>
  <c r="Y17" i="15"/>
  <c r="AL17" s="1"/>
  <c r="I89" i="9" s="1"/>
  <c r="X17" i="15"/>
  <c r="AK17" s="1"/>
  <c r="H89" i="9" s="1"/>
  <c r="W17" i="15"/>
  <c r="AJ17" s="1"/>
  <c r="G89" i="9" s="1"/>
  <c r="V17" i="15"/>
  <c r="AI17" s="1"/>
  <c r="F89" i="9" s="1"/>
  <c r="U17" i="15"/>
  <c r="AH17" s="1"/>
  <c r="E89" i="9" s="1"/>
  <c r="T17" i="15"/>
  <c r="AG17" s="1"/>
  <c r="D89" i="9" s="1"/>
  <c r="S17" i="15"/>
  <c r="AF17" s="1"/>
  <c r="R17"/>
  <c r="AE17" s="1"/>
  <c r="AQ17" s="1"/>
  <c r="BB38" s="1"/>
  <c r="BC16"/>
  <c r="BB16"/>
  <c r="BA16"/>
  <c r="AZ16"/>
  <c r="AY16"/>
  <c r="AX16"/>
  <c r="AW16"/>
  <c r="AV16"/>
  <c r="AU16"/>
  <c r="AT16"/>
  <c r="AS16"/>
  <c r="AC16"/>
  <c r="AP16" s="1"/>
  <c r="M88" i="9" s="1"/>
  <c r="AB16" i="15"/>
  <c r="AO16" s="1"/>
  <c r="L88" i="9" s="1"/>
  <c r="AA16" i="15"/>
  <c r="AN16" s="1"/>
  <c r="K88" i="9" s="1"/>
  <c r="Z16" i="15"/>
  <c r="AM16" s="1"/>
  <c r="J88" i="9" s="1"/>
  <c r="Y16" i="15"/>
  <c r="AL16" s="1"/>
  <c r="I88" i="9" s="1"/>
  <c r="X16" i="15"/>
  <c r="AK16" s="1"/>
  <c r="H88" i="9" s="1"/>
  <c r="W16" i="15"/>
  <c r="AJ16" s="1"/>
  <c r="G88" i="9" s="1"/>
  <c r="V16" i="15"/>
  <c r="AI16" s="1"/>
  <c r="F88" i="9" s="1"/>
  <c r="U16" i="15"/>
  <c r="AH16" s="1"/>
  <c r="E88" i="9" s="1"/>
  <c r="T16" i="15"/>
  <c r="AG16" s="1"/>
  <c r="D88" i="9" s="1"/>
  <c r="S16" i="15"/>
  <c r="AF16" s="1"/>
  <c r="O88" i="9" s="1"/>
  <c r="R16" i="15"/>
  <c r="AE16" s="1"/>
  <c r="AQ16" s="1"/>
  <c r="BC15"/>
  <c r="BB15"/>
  <c r="BA15"/>
  <c r="AZ15"/>
  <c r="AY15"/>
  <c r="AX15"/>
  <c r="AW15"/>
  <c r="AV15"/>
  <c r="AU15"/>
  <c r="AT15"/>
  <c r="AS15"/>
  <c r="AR15"/>
  <c r="AC15"/>
  <c r="AP15" s="1"/>
  <c r="M87" i="9" s="1"/>
  <c r="AB15" i="15"/>
  <c r="AO15" s="1"/>
  <c r="L87" i="9" s="1"/>
  <c r="AA15" i="15"/>
  <c r="AN15" s="1"/>
  <c r="K87" i="9" s="1"/>
  <c r="Z15" i="15"/>
  <c r="AM15" s="1"/>
  <c r="J87" i="9" s="1"/>
  <c r="Y15" i="15"/>
  <c r="AL15" s="1"/>
  <c r="I87" i="9" s="1"/>
  <c r="X15" i="15"/>
  <c r="AK15" s="1"/>
  <c r="H87" i="9" s="1"/>
  <c r="W15" i="15"/>
  <c r="AJ15" s="1"/>
  <c r="G87" i="9" s="1"/>
  <c r="V15" i="15"/>
  <c r="AI15" s="1"/>
  <c r="F87" i="9" s="1"/>
  <c r="U15" i="15"/>
  <c r="AH15" s="1"/>
  <c r="E87" i="9" s="1"/>
  <c r="T15" i="15"/>
  <c r="AG15" s="1"/>
  <c r="D87" i="9" s="1"/>
  <c r="S15" i="15"/>
  <c r="AF15" s="1"/>
  <c r="O87" i="9" s="1"/>
  <c r="R15" i="15"/>
  <c r="AE15" s="1"/>
  <c r="AQ15" s="1"/>
  <c r="BC14"/>
  <c r="BB14"/>
  <c r="BA14"/>
  <c r="AZ14"/>
  <c r="AY14"/>
  <c r="AX14"/>
  <c r="AW14"/>
  <c r="AV14"/>
  <c r="AU14"/>
  <c r="AT14"/>
  <c r="AS14"/>
  <c r="AR14"/>
  <c r="AC14"/>
  <c r="AP14" s="1"/>
  <c r="M86" i="9" s="1"/>
  <c r="AB14" i="15"/>
  <c r="AO14" s="1"/>
  <c r="L86" i="9" s="1"/>
  <c r="AA14" i="15"/>
  <c r="AN14" s="1"/>
  <c r="K86" i="9" s="1"/>
  <c r="Z14" i="15"/>
  <c r="AM14" s="1"/>
  <c r="J86" i="9" s="1"/>
  <c r="Y14" i="15"/>
  <c r="AL14" s="1"/>
  <c r="I86" i="9" s="1"/>
  <c r="X14" i="15"/>
  <c r="AK14" s="1"/>
  <c r="H86" i="9" s="1"/>
  <c r="W14" i="15"/>
  <c r="AJ14" s="1"/>
  <c r="G86" i="9" s="1"/>
  <c r="V14" i="15"/>
  <c r="AI14" s="1"/>
  <c r="F86" i="9" s="1"/>
  <c r="U14" i="15"/>
  <c r="AH14" s="1"/>
  <c r="E86" i="9" s="1"/>
  <c r="T14" i="15"/>
  <c r="AG14" s="1"/>
  <c r="D86" i="9" s="1"/>
  <c r="S14" i="15"/>
  <c r="AF14" s="1"/>
  <c r="O86" i="9" s="1"/>
  <c r="R14" i="15"/>
  <c r="AE14" s="1"/>
  <c r="AQ14" s="1"/>
  <c r="BC13"/>
  <c r="BB13"/>
  <c r="BA13"/>
  <c r="AZ13"/>
  <c r="AY13"/>
  <c r="AX13"/>
  <c r="AW13"/>
  <c r="AV13"/>
  <c r="AU13"/>
  <c r="AT13"/>
  <c r="AS13"/>
  <c r="AC13"/>
  <c r="AP13" s="1"/>
  <c r="M85" i="9" s="1"/>
  <c r="AB13" i="15"/>
  <c r="AO13" s="1"/>
  <c r="L85" i="9" s="1"/>
  <c r="AA13" i="15"/>
  <c r="AN13" s="1"/>
  <c r="K85" i="9" s="1"/>
  <c r="Z13" i="15"/>
  <c r="AM13" s="1"/>
  <c r="J85" i="9" s="1"/>
  <c r="Y13" i="15"/>
  <c r="AL13" s="1"/>
  <c r="I85" i="9" s="1"/>
  <c r="X13" i="15"/>
  <c r="AK13" s="1"/>
  <c r="H85" i="9" s="1"/>
  <c r="W13" i="15"/>
  <c r="AJ13" s="1"/>
  <c r="G85" i="9" s="1"/>
  <c r="V13" i="15"/>
  <c r="AI13" s="1"/>
  <c r="F85" i="9" s="1"/>
  <c r="U13" i="15"/>
  <c r="AH13" s="1"/>
  <c r="E85" i="9" s="1"/>
  <c r="T13" i="15"/>
  <c r="AG13" s="1"/>
  <c r="D85" i="9" s="1"/>
  <c r="S13" i="15"/>
  <c r="AF13" s="1"/>
  <c r="O85" i="9" s="1"/>
  <c r="R13" i="15"/>
  <c r="AE13" s="1"/>
  <c r="AQ13" s="1"/>
  <c r="BC12"/>
  <c r="BB12"/>
  <c r="BA12"/>
  <c r="AZ12"/>
  <c r="AY12"/>
  <c r="AX12"/>
  <c r="AW12"/>
  <c r="AV12"/>
  <c r="AU12"/>
  <c r="AT12"/>
  <c r="AS12"/>
  <c r="AR12"/>
  <c r="AC12"/>
  <c r="AP12" s="1"/>
  <c r="M84" i="9" s="1"/>
  <c r="AB12" i="15"/>
  <c r="AO12" s="1"/>
  <c r="L84" i="9" s="1"/>
  <c r="AA12" i="15"/>
  <c r="AN12" s="1"/>
  <c r="K84" i="9" s="1"/>
  <c r="Z12" i="15"/>
  <c r="AM12" s="1"/>
  <c r="J84" i="9" s="1"/>
  <c r="Y12" i="15"/>
  <c r="AL12" s="1"/>
  <c r="I84" i="9" s="1"/>
  <c r="X12" i="15"/>
  <c r="AK12" s="1"/>
  <c r="H84" i="9" s="1"/>
  <c r="W12" i="15"/>
  <c r="AJ12" s="1"/>
  <c r="G84" i="9" s="1"/>
  <c r="V12" i="15"/>
  <c r="AI12" s="1"/>
  <c r="F84" i="9" s="1"/>
  <c r="U12" i="15"/>
  <c r="AH12" s="1"/>
  <c r="E84" i="9" s="1"/>
  <c r="T12" i="15"/>
  <c r="AG12" s="1"/>
  <c r="D84" i="9" s="1"/>
  <c r="S12" i="15"/>
  <c r="AF12" s="1"/>
  <c r="O84" i="9" s="1"/>
  <c r="R12" i="15"/>
  <c r="AE12" s="1"/>
  <c r="AQ12" s="1"/>
  <c r="BC11"/>
  <c r="BB11"/>
  <c r="BA11"/>
  <c r="AZ11"/>
  <c r="AY11"/>
  <c r="AX11"/>
  <c r="AW11"/>
  <c r="AV11"/>
  <c r="AU11"/>
  <c r="AT11"/>
  <c r="AS11"/>
  <c r="AR11"/>
  <c r="AC11"/>
  <c r="AP11" s="1"/>
  <c r="M83" i="9" s="1"/>
  <c r="AB11" i="15"/>
  <c r="AO11" s="1"/>
  <c r="L83" i="9" s="1"/>
  <c r="AA11" i="15"/>
  <c r="AN11" s="1"/>
  <c r="K83" i="9" s="1"/>
  <c r="Z11" i="15"/>
  <c r="AM11" s="1"/>
  <c r="J83" i="9" s="1"/>
  <c r="Y11" i="15"/>
  <c r="AL11" s="1"/>
  <c r="I83" i="9" s="1"/>
  <c r="X11" i="15"/>
  <c r="AK11" s="1"/>
  <c r="H83" i="9" s="1"/>
  <c r="W11" i="15"/>
  <c r="AJ11" s="1"/>
  <c r="G83" i="9" s="1"/>
  <c r="V11" i="15"/>
  <c r="AI11" s="1"/>
  <c r="F83" i="9" s="1"/>
  <c r="U11" i="15"/>
  <c r="AH11" s="1"/>
  <c r="E83" i="9" s="1"/>
  <c r="T11" i="15"/>
  <c r="AG11" s="1"/>
  <c r="D83" i="9" s="1"/>
  <c r="S11" i="15"/>
  <c r="AF11" s="1"/>
  <c r="O83" i="9" s="1"/>
  <c r="R11" i="15"/>
  <c r="AE11" s="1"/>
  <c r="AQ11" s="1"/>
  <c r="BC10"/>
  <c r="BB10"/>
  <c r="BA10"/>
  <c r="AZ10"/>
  <c r="AY10"/>
  <c r="AX10"/>
  <c r="AW10"/>
  <c r="AV10"/>
  <c r="AU10"/>
  <c r="AT10"/>
  <c r="AS10"/>
  <c r="AC10"/>
  <c r="AP10" s="1"/>
  <c r="M82" i="9" s="1"/>
  <c r="AB10" i="15"/>
  <c r="AO10" s="1"/>
  <c r="L82" i="9" s="1"/>
  <c r="AA10" i="15"/>
  <c r="AN10" s="1"/>
  <c r="K82" i="9" s="1"/>
  <c r="Z10" i="15"/>
  <c r="AM10" s="1"/>
  <c r="J82" i="9" s="1"/>
  <c r="Y10" i="15"/>
  <c r="AL10" s="1"/>
  <c r="I82" i="9" s="1"/>
  <c r="X10" i="15"/>
  <c r="AK10" s="1"/>
  <c r="H82" i="9" s="1"/>
  <c r="W10" i="15"/>
  <c r="AJ10" s="1"/>
  <c r="G82" i="9" s="1"/>
  <c r="V10" i="15"/>
  <c r="AI10" s="1"/>
  <c r="F82" i="9" s="1"/>
  <c r="U10" i="15"/>
  <c r="AH10" s="1"/>
  <c r="E82" i="9" s="1"/>
  <c r="T10" i="15"/>
  <c r="AG10" s="1"/>
  <c r="S10"/>
  <c r="AF10" s="1"/>
  <c r="O82" i="9" s="1"/>
  <c r="AE10" i="15"/>
  <c r="AQ10" s="1"/>
  <c r="BC9"/>
  <c r="BB9"/>
  <c r="BA9"/>
  <c r="AZ9"/>
  <c r="AY9"/>
  <c r="AX9"/>
  <c r="AW9"/>
  <c r="AV9"/>
  <c r="AU9"/>
  <c r="AT9"/>
  <c r="AS9"/>
  <c r="AR9"/>
  <c r="AC9"/>
  <c r="AP9" s="1"/>
  <c r="M81" i="9" s="1"/>
  <c r="AB9" i="15"/>
  <c r="AO9" s="1"/>
  <c r="L81" i="9" s="1"/>
  <c r="AA9" i="15"/>
  <c r="AN9" s="1"/>
  <c r="K81" i="9" s="1"/>
  <c r="Z9" i="15"/>
  <c r="AM9" s="1"/>
  <c r="J81" i="9" s="1"/>
  <c r="Y9" i="15"/>
  <c r="AL9" s="1"/>
  <c r="I81" i="9" s="1"/>
  <c r="X9" i="15"/>
  <c r="AK9" s="1"/>
  <c r="H81" i="9" s="1"/>
  <c r="W9" i="15"/>
  <c r="AJ9" s="1"/>
  <c r="G81" i="9" s="1"/>
  <c r="V9" i="15"/>
  <c r="AI9" s="1"/>
  <c r="F81" i="9" s="1"/>
  <c r="U9" i="15"/>
  <c r="AH9" s="1"/>
  <c r="E81" i="9" s="1"/>
  <c r="T9" i="15"/>
  <c r="AG9" s="1"/>
  <c r="D81" i="9" s="1"/>
  <c r="S9" i="15"/>
  <c r="AF9" s="1"/>
  <c r="O81" i="9" s="1"/>
  <c r="R9" i="15"/>
  <c r="AE9" s="1"/>
  <c r="AQ9" s="1"/>
  <c r="BC8"/>
  <c r="BB8"/>
  <c r="BA8"/>
  <c r="AZ8"/>
  <c r="AY8"/>
  <c r="AX8"/>
  <c r="AW8"/>
  <c r="AV8"/>
  <c r="AU8"/>
  <c r="AT8"/>
  <c r="AS8"/>
  <c r="AR8"/>
  <c r="AC8"/>
  <c r="AP8" s="1"/>
  <c r="M80" i="9" s="1"/>
  <c r="AB8" i="15"/>
  <c r="AO8" s="1"/>
  <c r="L80" i="9" s="1"/>
  <c r="AA8" i="15"/>
  <c r="AN8" s="1"/>
  <c r="K80" i="9" s="1"/>
  <c r="Z8" i="15"/>
  <c r="AM8" s="1"/>
  <c r="J80" i="9" s="1"/>
  <c r="Y8" i="15"/>
  <c r="AL8" s="1"/>
  <c r="I80" i="9" s="1"/>
  <c r="X8" i="15"/>
  <c r="AK8" s="1"/>
  <c r="H80" i="9" s="1"/>
  <c r="W8" i="15"/>
  <c r="AJ8" s="1"/>
  <c r="G80" i="9" s="1"/>
  <c r="V8" i="15"/>
  <c r="AI8" s="1"/>
  <c r="F80" i="9" s="1"/>
  <c r="U8" i="15"/>
  <c r="AH8" s="1"/>
  <c r="E80" i="9" s="1"/>
  <c r="T8" i="15"/>
  <c r="AG8" s="1"/>
  <c r="D80" i="9" s="1"/>
  <c r="S8" i="15"/>
  <c r="AF8" s="1"/>
  <c r="O80" i="9" s="1"/>
  <c r="R8" i="15"/>
  <c r="AE8" s="1"/>
  <c r="AQ8" s="1"/>
  <c r="BC7"/>
  <c r="BB7"/>
  <c r="BA7"/>
  <c r="AZ7"/>
  <c r="AY7"/>
  <c r="AX7"/>
  <c r="AW7"/>
  <c r="AV7"/>
  <c r="AU7"/>
  <c r="AT7"/>
  <c r="AS7"/>
  <c r="AC7"/>
  <c r="AP7" s="1"/>
  <c r="M79" i="9" s="1"/>
  <c r="AB7" i="15"/>
  <c r="AO7" s="1"/>
  <c r="L79" i="9" s="1"/>
  <c r="AA7" i="15"/>
  <c r="AN7" s="1"/>
  <c r="K79" i="9" s="1"/>
  <c r="Z7" i="15"/>
  <c r="AM7" s="1"/>
  <c r="J79" i="9" s="1"/>
  <c r="Y7" i="15"/>
  <c r="X7"/>
  <c r="AK7" s="1"/>
  <c r="H79" i="9" s="1"/>
  <c r="W7" i="15"/>
  <c r="AJ7" s="1"/>
  <c r="G79" i="9" s="1"/>
  <c r="V7" i="15"/>
  <c r="AI7" s="1"/>
  <c r="F79" i="9" s="1"/>
  <c r="U7" i="15"/>
  <c r="AH7" s="1"/>
  <c r="E79" i="9" s="1"/>
  <c r="T7" i="15"/>
  <c r="AG7" s="1"/>
  <c r="D79" i="9" s="1"/>
  <c r="S7" i="15"/>
  <c r="AF7" s="1"/>
  <c r="R7"/>
  <c r="AE7" s="1"/>
  <c r="AQ7" s="1"/>
  <c r="BC6"/>
  <c r="BB6"/>
  <c r="BA6"/>
  <c r="AZ6"/>
  <c r="AY6"/>
  <c r="AX6"/>
  <c r="AW6"/>
  <c r="AV6"/>
  <c r="AU6"/>
  <c r="AT6"/>
  <c r="AS6"/>
  <c r="AR6"/>
  <c r="AC6"/>
  <c r="AP6" s="1"/>
  <c r="M78" i="9" s="1"/>
  <c r="AB6" i="15"/>
  <c r="AO6" s="1"/>
  <c r="L78" i="9" s="1"/>
  <c r="AA6" i="15"/>
  <c r="AN6" s="1"/>
  <c r="K78" i="9" s="1"/>
  <c r="Z6" i="15"/>
  <c r="Y6"/>
  <c r="AL6" s="1"/>
  <c r="I78" i="9" s="1"/>
  <c r="X6" i="15"/>
  <c r="AK6" s="1"/>
  <c r="H78" i="9" s="1"/>
  <c r="W6" i="15"/>
  <c r="V6"/>
  <c r="AI6" s="1"/>
  <c r="F78" i="9" s="1"/>
  <c r="U6" i="15"/>
  <c r="AH6" s="1"/>
  <c r="E78" i="9" s="1"/>
  <c r="T6" i="15"/>
  <c r="AG6" s="1"/>
  <c r="D78" i="9" s="1"/>
  <c r="S6" i="15"/>
  <c r="AF6" s="1"/>
  <c r="R6"/>
  <c r="AC4"/>
  <c r="AP4" s="1"/>
  <c r="BC4" s="1"/>
  <c r="AB4"/>
  <c r="AO4" s="1"/>
  <c r="BB4" s="1"/>
  <c r="AA4"/>
  <c r="AN4" s="1"/>
  <c r="BA4" s="1"/>
  <c r="Z4"/>
  <c r="AM4" s="1"/>
  <c r="AZ4" s="1"/>
  <c r="Y4"/>
  <c r="AL4" s="1"/>
  <c r="AY4" s="1"/>
  <c r="X4"/>
  <c r="AK4" s="1"/>
  <c r="AX4" s="1"/>
  <c r="W4"/>
  <c r="AJ4" s="1"/>
  <c r="AW4" s="1"/>
  <c r="V4"/>
  <c r="AI4" s="1"/>
  <c r="AV4" s="1"/>
  <c r="U4"/>
  <c r="AH4" s="1"/>
  <c r="AU4" s="1"/>
  <c r="T4"/>
  <c r="AG4" s="1"/>
  <c r="AT4" s="1"/>
  <c r="S4"/>
  <c r="AF4" s="1"/>
  <c r="AS4" s="1"/>
  <c r="CB132" i="9"/>
  <c r="CA132"/>
  <c r="BX132"/>
  <c r="BW132"/>
  <c r="BV132"/>
  <c r="BU132"/>
  <c r="BT132"/>
  <c r="BS132"/>
  <c r="BQ132"/>
  <c r="BP132"/>
  <c r="BO132"/>
  <c r="BN132"/>
  <c r="BM132"/>
  <c r="BL132"/>
  <c r="BK132"/>
  <c r="BJ132"/>
  <c r="BF132"/>
  <c r="BE132"/>
  <c r="BD132"/>
  <c r="BB132"/>
  <c r="BA132"/>
  <c r="AY132"/>
  <c r="AX132"/>
  <c r="AW132"/>
  <c r="AV132"/>
  <c r="AU132"/>
  <c r="AT132"/>
  <c r="AS132"/>
  <c r="AR132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P132"/>
  <c r="O132"/>
  <c r="N132"/>
  <c r="M132"/>
  <c r="L132"/>
  <c r="K132"/>
  <c r="J132"/>
  <c r="I132"/>
  <c r="H132"/>
  <c r="G132"/>
  <c r="F132"/>
  <c r="E132"/>
  <c r="CB118"/>
  <c r="CB116" s="1"/>
  <c r="CA118"/>
  <c r="BW118"/>
  <c r="BW116" s="1"/>
  <c r="BV118"/>
  <c r="BV116" s="1"/>
  <c r="BV110" s="1"/>
  <c r="BU118"/>
  <c r="BU116" s="1"/>
  <c r="BT118"/>
  <c r="BS118"/>
  <c r="BQ118"/>
  <c r="BQ116" s="1"/>
  <c r="BQ110" s="1"/>
  <c r="BP118"/>
  <c r="BP116" s="1"/>
  <c r="BO118"/>
  <c r="BO116" s="1"/>
  <c r="BN118"/>
  <c r="BN116" s="1"/>
  <c r="BM118"/>
  <c r="BM116" s="1"/>
  <c r="BM110" s="1"/>
  <c r="BL118"/>
  <c r="BL116" s="1"/>
  <c r="BK118"/>
  <c r="BK116" s="1"/>
  <c r="BJ118"/>
  <c r="BJ116" s="1"/>
  <c r="BI118"/>
  <c r="BF118"/>
  <c r="BF116" s="1"/>
  <c r="BE118"/>
  <c r="BE116" s="1"/>
  <c r="BD118"/>
  <c r="BB118"/>
  <c r="BB116" s="1"/>
  <c r="BB110" s="1"/>
  <c r="BA118"/>
  <c r="AY118"/>
  <c r="AY116" s="1"/>
  <c r="AX118"/>
  <c r="AX116" s="1"/>
  <c r="AW118"/>
  <c r="AW116" s="1"/>
  <c r="AW110" s="1"/>
  <c r="AV118"/>
  <c r="AV116" s="1"/>
  <c r="AU118"/>
  <c r="AU116" s="1"/>
  <c r="AT118"/>
  <c r="AT116" s="1"/>
  <c r="AS118"/>
  <c r="AS116" s="1"/>
  <c r="AS110" s="1"/>
  <c r="AR118"/>
  <c r="AR116" s="1"/>
  <c r="AQ118"/>
  <c r="AQ116" s="1"/>
  <c r="AP118"/>
  <c r="AP116" s="1"/>
  <c r="AO118"/>
  <c r="AO116" s="1"/>
  <c r="AO110" s="1"/>
  <c r="AN118"/>
  <c r="AN116" s="1"/>
  <c r="AM118"/>
  <c r="AM116" s="1"/>
  <c r="AL118"/>
  <c r="AL116" s="1"/>
  <c r="AK118"/>
  <c r="AK116" s="1"/>
  <c r="AK110" s="1"/>
  <c r="AJ118"/>
  <c r="AJ116" s="1"/>
  <c r="AI118"/>
  <c r="AI116" s="1"/>
  <c r="AH118"/>
  <c r="AH116" s="1"/>
  <c r="AG118"/>
  <c r="AG116" s="1"/>
  <c r="AG110" s="1"/>
  <c r="AF118"/>
  <c r="AF116" s="1"/>
  <c r="AE118"/>
  <c r="AE116" s="1"/>
  <c r="AD118"/>
  <c r="AD116" s="1"/>
  <c r="AC118"/>
  <c r="AC116" s="1"/>
  <c r="AC110" s="1"/>
  <c r="AB118"/>
  <c r="AB116" s="1"/>
  <c r="AA118"/>
  <c r="AA116" s="1"/>
  <c r="Z118"/>
  <c r="Z116" s="1"/>
  <c r="Y118"/>
  <c r="Y116" s="1"/>
  <c r="Y110" s="1"/>
  <c r="X118"/>
  <c r="X116" s="1"/>
  <c r="W118"/>
  <c r="W116" s="1"/>
  <c r="V118"/>
  <c r="V116" s="1"/>
  <c r="U118"/>
  <c r="U116" s="1"/>
  <c r="U110" s="1"/>
  <c r="T118"/>
  <c r="T116" s="1"/>
  <c r="S118"/>
  <c r="S116" s="1"/>
  <c r="R118"/>
  <c r="P118"/>
  <c r="P116" s="1"/>
  <c r="P110" s="1"/>
  <c r="O118"/>
  <c r="O116" s="1"/>
  <c r="M118"/>
  <c r="M116" s="1"/>
  <c r="L118"/>
  <c r="L116" s="1"/>
  <c r="L110" s="1"/>
  <c r="K118"/>
  <c r="K116" s="1"/>
  <c r="J118"/>
  <c r="J116" s="1"/>
  <c r="I118"/>
  <c r="I116" s="1"/>
  <c r="H118"/>
  <c r="H116" s="1"/>
  <c r="H110" s="1"/>
  <c r="G118"/>
  <c r="G116" s="1"/>
  <c r="F118"/>
  <c r="F116" s="1"/>
  <c r="E118"/>
  <c r="E116" s="1"/>
  <c r="CB76"/>
  <c r="CB75" s="1"/>
  <c r="CA76"/>
  <c r="BX76"/>
  <c r="BX75" s="1"/>
  <c r="BW76"/>
  <c r="BW75" s="1"/>
  <c r="BV76"/>
  <c r="BV75" s="1"/>
  <c r="BU76"/>
  <c r="BU75" s="1"/>
  <c r="BT76"/>
  <c r="BT75" s="1"/>
  <c r="BS76"/>
  <c r="BQ76"/>
  <c r="BQ75" s="1"/>
  <c r="BP76"/>
  <c r="BP75" s="1"/>
  <c r="BO76"/>
  <c r="BO75" s="1"/>
  <c r="BN76"/>
  <c r="BN75" s="1"/>
  <c r="BM76"/>
  <c r="BL76"/>
  <c r="BL75" s="1"/>
  <c r="BK76"/>
  <c r="BK75" s="1"/>
  <c r="BJ76"/>
  <c r="BJ75" s="1"/>
  <c r="BI76"/>
  <c r="BF76"/>
  <c r="BF75" s="1"/>
  <c r="BE76"/>
  <c r="BE75" s="1"/>
  <c r="BD76"/>
  <c r="BB76"/>
  <c r="BB75" s="1"/>
  <c r="BA76"/>
  <c r="AY76"/>
  <c r="AY75" s="1"/>
  <c r="AX76"/>
  <c r="AX75" s="1"/>
  <c r="AW76"/>
  <c r="AW75" s="1"/>
  <c r="AV76"/>
  <c r="AV75" s="1"/>
  <c r="AU76"/>
  <c r="AU75" s="1"/>
  <c r="AT76"/>
  <c r="AT75" s="1"/>
  <c r="AS76"/>
  <c r="AS75" s="1"/>
  <c r="AR76"/>
  <c r="AR75" s="1"/>
  <c r="AQ76"/>
  <c r="AQ75" s="1"/>
  <c r="AP76"/>
  <c r="AP75" s="1"/>
  <c r="AO76"/>
  <c r="AO75" s="1"/>
  <c r="AN76"/>
  <c r="AN75" s="1"/>
  <c r="AM76"/>
  <c r="AM75" s="1"/>
  <c r="AL76"/>
  <c r="AL75" s="1"/>
  <c r="AK76"/>
  <c r="AK75" s="1"/>
  <c r="AJ76"/>
  <c r="AJ75" s="1"/>
  <c r="AI76"/>
  <c r="AI75" s="1"/>
  <c r="AH76"/>
  <c r="AH75" s="1"/>
  <c r="AG76"/>
  <c r="AG75" s="1"/>
  <c r="AF76"/>
  <c r="AF75" s="1"/>
  <c r="AE76"/>
  <c r="AE75" s="1"/>
  <c r="AD76"/>
  <c r="AD75" s="1"/>
  <c r="AC76"/>
  <c r="AC75" s="1"/>
  <c r="AB76"/>
  <c r="AB75" s="1"/>
  <c r="AA76"/>
  <c r="AA75" s="1"/>
  <c r="Z76"/>
  <c r="Z75" s="1"/>
  <c r="Y76"/>
  <c r="Y75" s="1"/>
  <c r="X76"/>
  <c r="X75" s="1"/>
  <c r="W76"/>
  <c r="W75" s="1"/>
  <c r="V76"/>
  <c r="V75" s="1"/>
  <c r="U76"/>
  <c r="U75" s="1"/>
  <c r="T76"/>
  <c r="T75" s="1"/>
  <c r="S76"/>
  <c r="S75" s="1"/>
  <c r="R76"/>
  <c r="P76"/>
  <c r="P75" s="1"/>
  <c r="Q70"/>
  <c r="BY70" s="1"/>
  <c r="AQ35" i="15" l="1"/>
  <c r="AR35" s="1"/>
  <c r="AY35" s="1"/>
  <c r="BA35" s="1"/>
  <c r="AQ37"/>
  <c r="AR37" s="1"/>
  <c r="AY37" s="1"/>
  <c r="BA37" s="1"/>
  <c r="BB37" s="1"/>
  <c r="AR16"/>
  <c r="AR22"/>
  <c r="AR21"/>
  <c r="D171"/>
  <c r="H171"/>
  <c r="L171"/>
  <c r="Q171"/>
  <c r="U171"/>
  <c r="BG100" i="9"/>
  <c r="I171" i="15"/>
  <c r="M171"/>
  <c r="R171"/>
  <c r="AS95"/>
  <c r="AU95"/>
  <c r="AE103"/>
  <c r="AP103" s="1"/>
  <c r="AQ103" s="1"/>
  <c r="AR103" s="1"/>
  <c r="AU103"/>
  <c r="AD105"/>
  <c r="AP105" s="1"/>
  <c r="AQ105" s="1"/>
  <c r="AR105" s="1"/>
  <c r="AU105"/>
  <c r="AE107"/>
  <c r="AP107" s="1"/>
  <c r="AQ107" s="1"/>
  <c r="AR107" s="1"/>
  <c r="AY107" s="1"/>
  <c r="BA107" s="1"/>
  <c r="AD117"/>
  <c r="AP117" s="1"/>
  <c r="AQ117" s="1"/>
  <c r="AR117" s="1"/>
  <c r="AY117" s="1"/>
  <c r="BA117" s="1"/>
  <c r="AS134"/>
  <c r="AU134"/>
  <c r="AT134"/>
  <c r="AD134"/>
  <c r="AP134" s="1"/>
  <c r="AQ134" s="1"/>
  <c r="AR134" s="1"/>
  <c r="AP136"/>
  <c r="AT136"/>
  <c r="AS136"/>
  <c r="AU136"/>
  <c r="AP138"/>
  <c r="AQ138" s="1"/>
  <c r="AR138" s="1"/>
  <c r="AS138"/>
  <c r="AT138"/>
  <c r="AU138"/>
  <c r="AD140"/>
  <c r="AP140" s="1"/>
  <c r="AQ140" s="1"/>
  <c r="AR140" s="1"/>
  <c r="AY140" s="1"/>
  <c r="BA140" s="1"/>
  <c r="AD142"/>
  <c r="AP142" s="1"/>
  <c r="AQ142" s="1"/>
  <c r="AR142" s="1"/>
  <c r="AY142" s="1"/>
  <c r="BA142" s="1"/>
  <c r="AE146"/>
  <c r="AI146"/>
  <c r="AG67"/>
  <c r="AP67" s="1"/>
  <c r="AQ67" s="1"/>
  <c r="AR67" s="1"/>
  <c r="AU67"/>
  <c r="AD110"/>
  <c r="AP110" s="1"/>
  <c r="AQ110" s="1"/>
  <c r="AR110" s="1"/>
  <c r="AY110" s="1"/>
  <c r="BA110" s="1"/>
  <c r="AD112"/>
  <c r="AP112" s="1"/>
  <c r="AQ112" s="1"/>
  <c r="AR112" s="1"/>
  <c r="AY112" s="1"/>
  <c r="BA112" s="1"/>
  <c r="AF149"/>
  <c r="AP149" s="1"/>
  <c r="AQ149" s="1"/>
  <c r="AR149" s="1"/>
  <c r="AY149" s="1"/>
  <c r="BA149" s="1"/>
  <c r="AP66"/>
  <c r="AQ66" s="1"/>
  <c r="AR66" s="1"/>
  <c r="AU66"/>
  <c r="AD111"/>
  <c r="AP111" s="1"/>
  <c r="AQ111" s="1"/>
  <c r="AR111" s="1"/>
  <c r="AY111" s="1"/>
  <c r="BA111" s="1"/>
  <c r="AP68"/>
  <c r="AQ68" s="1"/>
  <c r="AR68" s="1"/>
  <c r="AU68"/>
  <c r="AE102"/>
  <c r="AP102" s="1"/>
  <c r="AQ102" s="1"/>
  <c r="AR102" s="1"/>
  <c r="AU102"/>
  <c r="AU104"/>
  <c r="AD104"/>
  <c r="AP104" s="1"/>
  <c r="AQ104" s="1"/>
  <c r="AR104" s="1"/>
  <c r="AE106"/>
  <c r="AP106" s="1"/>
  <c r="AQ106" s="1"/>
  <c r="AR106" s="1"/>
  <c r="AY106" s="1"/>
  <c r="BA106" s="1"/>
  <c r="AD108"/>
  <c r="AP108" s="1"/>
  <c r="AD119"/>
  <c r="AP119" s="1"/>
  <c r="AQ119" s="1"/>
  <c r="AR119" s="1"/>
  <c r="AY119" s="1"/>
  <c r="BA119" s="1"/>
  <c r="AF129"/>
  <c r="AP129" s="1"/>
  <c r="AQ129" s="1"/>
  <c r="AR129" s="1"/>
  <c r="AY129" s="1"/>
  <c r="BA129" s="1"/>
  <c r="AD131"/>
  <c r="AP131" s="1"/>
  <c r="AQ131" s="1"/>
  <c r="AR131" s="1"/>
  <c r="AY131" s="1"/>
  <c r="BA131" s="1"/>
  <c r="AD133"/>
  <c r="AP133" s="1"/>
  <c r="AQ133" s="1"/>
  <c r="AR133" s="1"/>
  <c r="AY133" s="1"/>
  <c r="BA133" s="1"/>
  <c r="AD135"/>
  <c r="AP135" s="1"/>
  <c r="AT135"/>
  <c r="AS135"/>
  <c r="AU135"/>
  <c r="AP137"/>
  <c r="AQ137" s="1"/>
  <c r="AR137" s="1"/>
  <c r="AU137"/>
  <c r="AT137"/>
  <c r="AS137"/>
  <c r="AP139"/>
  <c r="AQ139" s="1"/>
  <c r="AD139"/>
  <c r="AD141"/>
  <c r="AP141" s="1"/>
  <c r="AQ141" s="1"/>
  <c r="AR141" s="1"/>
  <c r="AY141" s="1"/>
  <c r="BA141" s="1"/>
  <c r="AQ46"/>
  <c r="AR46" s="1"/>
  <c r="AY46" s="1"/>
  <c r="BA46" s="1"/>
  <c r="BB46" s="1"/>
  <c r="BC46" s="1"/>
  <c r="BD46" s="1"/>
  <c r="G171"/>
  <c r="K171"/>
  <c r="T171"/>
  <c r="BB101"/>
  <c r="BC101" s="1"/>
  <c r="BD101" s="1"/>
  <c r="AP100"/>
  <c r="AD49"/>
  <c r="AP49" s="1"/>
  <c r="AQ49" s="1"/>
  <c r="AR49" s="1"/>
  <c r="AY49" s="1"/>
  <c r="BA49" s="1"/>
  <c r="AU57"/>
  <c r="AF57"/>
  <c r="AS57"/>
  <c r="AT57"/>
  <c r="AM57"/>
  <c r="AS59"/>
  <c r="AT59"/>
  <c r="AU59"/>
  <c r="AF59"/>
  <c r="AP59" s="1"/>
  <c r="AQ59" s="1"/>
  <c r="AR59" s="1"/>
  <c r="AU61"/>
  <c r="AD61"/>
  <c r="AP61" s="1"/>
  <c r="AQ61" s="1"/>
  <c r="AR61" s="1"/>
  <c r="AS61"/>
  <c r="AT61"/>
  <c r="AG73"/>
  <c r="AP73" s="1"/>
  <c r="AQ73" s="1"/>
  <c r="AR73" s="1"/>
  <c r="AS73"/>
  <c r="AS75"/>
  <c r="AE75"/>
  <c r="AP75" s="1"/>
  <c r="AQ75" s="1"/>
  <c r="AR75" s="1"/>
  <c r="AS80"/>
  <c r="AE80"/>
  <c r="AP80" s="1"/>
  <c r="AQ80" s="1"/>
  <c r="AR80" s="1"/>
  <c r="AS82"/>
  <c r="AE82"/>
  <c r="AP82" s="1"/>
  <c r="AQ82" s="1"/>
  <c r="AR82" s="1"/>
  <c r="AS84"/>
  <c r="AD84"/>
  <c r="AP84" s="1"/>
  <c r="AQ84" s="1"/>
  <c r="AR84" s="1"/>
  <c r="AE89"/>
  <c r="AP89" s="1"/>
  <c r="AQ89" s="1"/>
  <c r="AR89" s="1"/>
  <c r="AS89"/>
  <c r="AP91"/>
  <c r="AQ91" s="1"/>
  <c r="AR91" s="1"/>
  <c r="AS91"/>
  <c r="AP93"/>
  <c r="AS93"/>
  <c r="AP44"/>
  <c r="AQ44" s="1"/>
  <c r="AR44" s="1"/>
  <c r="AY44" s="1"/>
  <c r="BA44" s="1"/>
  <c r="AP64"/>
  <c r="AQ64" s="1"/>
  <c r="AR64" s="1"/>
  <c r="AY64" s="1"/>
  <c r="BA64" s="1"/>
  <c r="AF55"/>
  <c r="AP55" s="1"/>
  <c r="AQ55" s="1"/>
  <c r="AR55" s="1"/>
  <c r="E94" i="9"/>
  <c r="AH57" i="15"/>
  <c r="AD39"/>
  <c r="AP39" s="1"/>
  <c r="AQ39" s="1"/>
  <c r="AR39" s="1"/>
  <c r="AY39" s="1"/>
  <c r="BA39" s="1"/>
  <c r="AD42"/>
  <c r="AP42" s="1"/>
  <c r="AQ42" s="1"/>
  <c r="AR42" s="1"/>
  <c r="AY42" s="1"/>
  <c r="BA42" s="1"/>
  <c r="BB42" s="1"/>
  <c r="BC42" s="1"/>
  <c r="BD42" s="1"/>
  <c r="AU54"/>
  <c r="AD54"/>
  <c r="AP54" s="1"/>
  <c r="AQ54" s="1"/>
  <c r="AR54" s="1"/>
  <c r="AF69"/>
  <c r="AP69" s="1"/>
  <c r="AQ69" s="1"/>
  <c r="AR69" s="1"/>
  <c r="AY69" s="1"/>
  <c r="BA69" s="1"/>
  <c r="BB69" s="1"/>
  <c r="BC69" s="1"/>
  <c r="BD69" s="1"/>
  <c r="AS71"/>
  <c r="AF71"/>
  <c r="AP71" s="1"/>
  <c r="AQ71" s="1"/>
  <c r="AR71" s="1"/>
  <c r="AS76"/>
  <c r="AE76"/>
  <c r="AP76" s="1"/>
  <c r="AQ76" s="1"/>
  <c r="AR76" s="1"/>
  <c r="AS78"/>
  <c r="AF78"/>
  <c r="AP78" s="1"/>
  <c r="AQ78" s="1"/>
  <c r="AR78" s="1"/>
  <c r="AD85"/>
  <c r="AP85" s="1"/>
  <c r="AQ85" s="1"/>
  <c r="AR85" s="1"/>
  <c r="AS85"/>
  <c r="AS87"/>
  <c r="AG87"/>
  <c r="AP87" s="1"/>
  <c r="AQ87" s="1"/>
  <c r="AR87" s="1"/>
  <c r="AP96"/>
  <c r="AQ96" s="1"/>
  <c r="AR96" s="1"/>
  <c r="AS96"/>
  <c r="AP99"/>
  <c r="AQ99" s="1"/>
  <c r="AR99" s="1"/>
  <c r="AS99"/>
  <c r="AE116"/>
  <c r="AP116" s="1"/>
  <c r="AQ116" s="1"/>
  <c r="AR116" s="1"/>
  <c r="AY116" s="1"/>
  <c r="BA116" s="1"/>
  <c r="AQ163"/>
  <c r="AQ113"/>
  <c r="AR113" s="1"/>
  <c r="AY113" s="1"/>
  <c r="BA113" s="1"/>
  <c r="BB113" s="1"/>
  <c r="BC113" s="1"/>
  <c r="BD113" s="1"/>
  <c r="AD50"/>
  <c r="AP50" s="1"/>
  <c r="AQ50" s="1"/>
  <c r="AR50" s="1"/>
  <c r="AY50" s="1"/>
  <c r="BA50" s="1"/>
  <c r="BB50" s="1"/>
  <c r="BC50" s="1"/>
  <c r="BD50" s="1"/>
  <c r="AG52"/>
  <c r="AP52" s="1"/>
  <c r="AQ52" s="1"/>
  <c r="AR52" s="1"/>
  <c r="AU52"/>
  <c r="AS58"/>
  <c r="AT58"/>
  <c r="AF58"/>
  <c r="AP58" s="1"/>
  <c r="AU58"/>
  <c r="AT60"/>
  <c r="AU60"/>
  <c r="AD60"/>
  <c r="AP60" s="1"/>
  <c r="AQ60" s="1"/>
  <c r="AR60" s="1"/>
  <c r="AS60"/>
  <c r="AE65"/>
  <c r="AP65" s="1"/>
  <c r="AQ65" s="1"/>
  <c r="AR65" s="1"/>
  <c r="AS72"/>
  <c r="AH72"/>
  <c r="AP72" s="1"/>
  <c r="AQ72" s="1"/>
  <c r="AR72" s="1"/>
  <c r="AS74"/>
  <c r="AG74"/>
  <c r="AP74" s="1"/>
  <c r="AQ74" s="1"/>
  <c r="AR74" s="1"/>
  <c r="AE81"/>
  <c r="AP81" s="1"/>
  <c r="AQ81" s="1"/>
  <c r="AR81" s="1"/>
  <c r="AS81"/>
  <c r="AS83"/>
  <c r="AD83"/>
  <c r="AP83" s="1"/>
  <c r="AQ83" s="1"/>
  <c r="AR83" s="1"/>
  <c r="AS90"/>
  <c r="AE90"/>
  <c r="AP90" s="1"/>
  <c r="AQ90" s="1"/>
  <c r="AR90" s="1"/>
  <c r="AP92"/>
  <c r="AQ92" s="1"/>
  <c r="AR92" s="1"/>
  <c r="AS92"/>
  <c r="AP94"/>
  <c r="AQ94" s="1"/>
  <c r="AR94" s="1"/>
  <c r="AS94"/>
  <c r="AR17"/>
  <c r="AP48"/>
  <c r="AR19"/>
  <c r="F171"/>
  <c r="J171"/>
  <c r="N171"/>
  <c r="S171"/>
  <c r="AU18"/>
  <c r="AU5" s="1"/>
  <c r="BC18"/>
  <c r="BC5" s="1"/>
  <c r="AD38"/>
  <c r="AP38" s="1"/>
  <c r="AQ38" s="1"/>
  <c r="AR38" s="1"/>
  <c r="AY38" s="1"/>
  <c r="BA38" s="1"/>
  <c r="BC38" s="1"/>
  <c r="BD38" s="1"/>
  <c r="AD43"/>
  <c r="AP43" s="1"/>
  <c r="AQ43" s="1"/>
  <c r="AR43" s="1"/>
  <c r="AY43" s="1"/>
  <c r="BA43" s="1"/>
  <c r="AG53"/>
  <c r="AP53" s="1"/>
  <c r="AQ53" s="1"/>
  <c r="AR53" s="1"/>
  <c r="AU53"/>
  <c r="AU55"/>
  <c r="AF56"/>
  <c r="AU56"/>
  <c r="AM56"/>
  <c r="AS56"/>
  <c r="AT56"/>
  <c r="AP70"/>
  <c r="AQ70" s="1"/>
  <c r="AR70" s="1"/>
  <c r="AS70"/>
  <c r="AE70"/>
  <c r="AD77"/>
  <c r="AP77" s="1"/>
  <c r="AQ77" s="1"/>
  <c r="AR77" s="1"/>
  <c r="AS77"/>
  <c r="AS79"/>
  <c r="AF79"/>
  <c r="AP79" s="1"/>
  <c r="AQ79" s="1"/>
  <c r="AR79" s="1"/>
  <c r="AS86"/>
  <c r="AG86"/>
  <c r="AP86" s="1"/>
  <c r="AQ86" s="1"/>
  <c r="AR86" s="1"/>
  <c r="AS88"/>
  <c r="AF88"/>
  <c r="AP88" s="1"/>
  <c r="AQ88" s="1"/>
  <c r="AR88" s="1"/>
  <c r="AP97"/>
  <c r="AQ97" s="1"/>
  <c r="AR97" s="1"/>
  <c r="AS97"/>
  <c r="AP41"/>
  <c r="AQ41" s="1"/>
  <c r="AR41" s="1"/>
  <c r="AY41" s="1"/>
  <c r="BA41" s="1"/>
  <c r="AR10"/>
  <c r="AR13"/>
  <c r="AP63"/>
  <c r="AQ63" s="1"/>
  <c r="AR63" s="1"/>
  <c r="AY63" s="1"/>
  <c r="BA63" s="1"/>
  <c r="AR20"/>
  <c r="AP95"/>
  <c r="AQ95" s="1"/>
  <c r="AR95" s="1"/>
  <c r="AJ18"/>
  <c r="G90" i="9" s="1"/>
  <c r="P171" i="15"/>
  <c r="S23"/>
  <c r="W18"/>
  <c r="Y23"/>
  <c r="AY18"/>
  <c r="AY5" s="1"/>
  <c r="AA23"/>
  <c r="AB18"/>
  <c r="W23"/>
  <c r="AS18"/>
  <c r="AS5" s="1"/>
  <c r="BA18"/>
  <c r="BA5" s="1"/>
  <c r="AW18"/>
  <c r="AW5" s="1"/>
  <c r="AX18"/>
  <c r="AN18"/>
  <c r="K90" i="9" s="1"/>
  <c r="AR23" i="15"/>
  <c r="AZ23"/>
  <c r="AI23"/>
  <c r="F95" i="9" s="1"/>
  <c r="U18" i="15"/>
  <c r="AC18"/>
  <c r="Y18"/>
  <c r="AH18"/>
  <c r="E90" i="9" s="1"/>
  <c r="E76" s="1"/>
  <c r="AL18" i="15"/>
  <c r="I90" i="9" s="1"/>
  <c r="AP18" i="15"/>
  <c r="M90" i="9" s="1"/>
  <c r="M76" s="1"/>
  <c r="M100" s="1"/>
  <c r="AN23" i="15"/>
  <c r="K95" i="9" s="1"/>
  <c r="AK18" i="15"/>
  <c r="H90" i="9" s="1"/>
  <c r="AT18" i="15"/>
  <c r="BB18"/>
  <c r="AV23"/>
  <c r="AM23"/>
  <c r="J95" i="9" s="1"/>
  <c r="AA18" i="15"/>
  <c r="U23"/>
  <c r="AC23"/>
  <c r="AR18"/>
  <c r="AV18"/>
  <c r="AZ18"/>
  <c r="AT23"/>
  <c r="AX23"/>
  <c r="BB23"/>
  <c r="AK23"/>
  <c r="H95" i="9" s="1"/>
  <c r="AO23" i="15"/>
  <c r="L95" i="9" s="1"/>
  <c r="C98"/>
  <c r="BY98" s="1"/>
  <c r="C80"/>
  <c r="BY80" s="1"/>
  <c r="C81"/>
  <c r="BY81" s="1"/>
  <c r="C97"/>
  <c r="BY97" s="1"/>
  <c r="C86"/>
  <c r="BY86" s="1"/>
  <c r="C93"/>
  <c r="BY93" s="1"/>
  <c r="AG23" i="15"/>
  <c r="D95" i="9" s="1"/>
  <c r="C92"/>
  <c r="BY92" s="1"/>
  <c r="C82"/>
  <c r="BY82" s="1"/>
  <c r="C83"/>
  <c r="BY83" s="1"/>
  <c r="C84"/>
  <c r="BY84" s="1"/>
  <c r="C85"/>
  <c r="BY85" s="1"/>
  <c r="S18" i="15"/>
  <c r="C88" i="9"/>
  <c r="BY88" s="1"/>
  <c r="AF18" i="15"/>
  <c r="O90" i="9" s="1"/>
  <c r="AG18" i="15"/>
  <c r="D90" i="9" s="1"/>
  <c r="C87"/>
  <c r="BY87" s="1"/>
  <c r="C96"/>
  <c r="BY96" s="1"/>
  <c r="C89"/>
  <c r="BY89" s="1"/>
  <c r="AI18" i="15"/>
  <c r="F90" i="9" s="1"/>
  <c r="AM18" i="15"/>
  <c r="J90" i="9" s="1"/>
  <c r="AO174" i="15"/>
  <c r="AO18" s="1"/>
  <c r="L90" i="9" s="1"/>
  <c r="T18" i="15"/>
  <c r="X18"/>
  <c r="T23"/>
  <c r="X23"/>
  <c r="AB23"/>
  <c r="AQ19"/>
  <c r="R18"/>
  <c r="V18"/>
  <c r="Z18"/>
  <c r="AE18"/>
  <c r="R23"/>
  <c r="V23"/>
  <c r="Z23"/>
  <c r="AE23"/>
  <c r="E171"/>
  <c r="CB110" i="9"/>
  <c r="AZ132"/>
  <c r="BZ132"/>
  <c r="BK73"/>
  <c r="BK36" s="1"/>
  <c r="AZ76"/>
  <c r="F110"/>
  <c r="J110"/>
  <c r="S110"/>
  <c r="S73" s="1"/>
  <c r="S36" s="1"/>
  <c r="W110"/>
  <c r="W73" s="1"/>
  <c r="W36" s="1"/>
  <c r="AA110"/>
  <c r="AA73" s="1"/>
  <c r="AA36" s="1"/>
  <c r="AE110"/>
  <c r="AE73" s="1"/>
  <c r="AE36" s="1"/>
  <c r="AI110"/>
  <c r="AI73" s="1"/>
  <c r="AI36" s="1"/>
  <c r="AM110"/>
  <c r="AM73" s="1"/>
  <c r="AM36" s="1"/>
  <c r="AQ110"/>
  <c r="AQ73" s="1"/>
  <c r="AQ36" s="1"/>
  <c r="AU110"/>
  <c r="AU73" s="1"/>
  <c r="AU36" s="1"/>
  <c r="AY110"/>
  <c r="AY73" s="1"/>
  <c r="AY36" s="1"/>
  <c r="BE110"/>
  <c r="BE73" s="1"/>
  <c r="BE36" s="1"/>
  <c r="BK110"/>
  <c r="BO110"/>
  <c r="BO73" s="1"/>
  <c r="BO36" s="1"/>
  <c r="BX110"/>
  <c r="P73"/>
  <c r="P36" s="1"/>
  <c r="U73"/>
  <c r="U36" s="1"/>
  <c r="Y73"/>
  <c r="Y36" s="1"/>
  <c r="AC73"/>
  <c r="AC36" s="1"/>
  <c r="AG73"/>
  <c r="AG36" s="1"/>
  <c r="AK73"/>
  <c r="AK36" s="1"/>
  <c r="AO73"/>
  <c r="AO36" s="1"/>
  <c r="AS73"/>
  <c r="AS36" s="1"/>
  <c r="AW73"/>
  <c r="AW36" s="1"/>
  <c r="BB73"/>
  <c r="BB36" s="1"/>
  <c r="BQ73"/>
  <c r="BQ36" s="1"/>
  <c r="BV73"/>
  <c r="BV36" s="1"/>
  <c r="CB73"/>
  <c r="CB36" s="1"/>
  <c r="Q132"/>
  <c r="BC132"/>
  <c r="BR132"/>
  <c r="BG132" s="1"/>
  <c r="G110"/>
  <c r="K110"/>
  <c r="T110"/>
  <c r="T73" s="1"/>
  <c r="T36" s="1"/>
  <c r="X110"/>
  <c r="X73" s="1"/>
  <c r="X36" s="1"/>
  <c r="AB110"/>
  <c r="AB73" s="1"/>
  <c r="AB36" s="1"/>
  <c r="AF110"/>
  <c r="AF73" s="1"/>
  <c r="AF36" s="1"/>
  <c r="AJ110"/>
  <c r="AJ73" s="1"/>
  <c r="AJ36" s="1"/>
  <c r="AN110"/>
  <c r="AN73" s="1"/>
  <c r="AN36" s="1"/>
  <c r="AR110"/>
  <c r="AR73" s="1"/>
  <c r="AR36" s="1"/>
  <c r="AV110"/>
  <c r="AV73" s="1"/>
  <c r="AV36" s="1"/>
  <c r="BF110"/>
  <c r="BF73" s="1"/>
  <c r="BF36" s="1"/>
  <c r="BL110"/>
  <c r="BL73" s="1"/>
  <c r="BL36" s="1"/>
  <c r="BP110"/>
  <c r="BP73" s="1"/>
  <c r="BP36" s="1"/>
  <c r="BU110"/>
  <c r="BU73" s="1"/>
  <c r="BU36" s="1"/>
  <c r="CA75"/>
  <c r="BZ76"/>
  <c r="BI75"/>
  <c r="BI74" s="1"/>
  <c r="AZ118"/>
  <c r="CA116"/>
  <c r="BZ118"/>
  <c r="BY137"/>
  <c r="BC76"/>
  <c r="BS75"/>
  <c r="BR76"/>
  <c r="BG76" s="1"/>
  <c r="BI116"/>
  <c r="R75"/>
  <c r="Q76"/>
  <c r="E110"/>
  <c r="I110"/>
  <c r="M110"/>
  <c r="R116"/>
  <c r="Q118"/>
  <c r="V110"/>
  <c r="V73" s="1"/>
  <c r="V36" s="1"/>
  <c r="Z110"/>
  <c r="Z73" s="1"/>
  <c r="Z36" s="1"/>
  <c r="AD110"/>
  <c r="AD73" s="1"/>
  <c r="AD36" s="1"/>
  <c r="AH110"/>
  <c r="AH73" s="1"/>
  <c r="AH36" s="1"/>
  <c r="AL110"/>
  <c r="AL73" s="1"/>
  <c r="AL36" s="1"/>
  <c r="AP110"/>
  <c r="AP73" s="1"/>
  <c r="AP36" s="1"/>
  <c r="AT110"/>
  <c r="AT73" s="1"/>
  <c r="AT36" s="1"/>
  <c r="AX110"/>
  <c r="AX73" s="1"/>
  <c r="AX36" s="1"/>
  <c r="BD116"/>
  <c r="BC118"/>
  <c r="BJ110"/>
  <c r="BJ73" s="1"/>
  <c r="BJ36" s="1"/>
  <c r="BN110"/>
  <c r="BN73" s="1"/>
  <c r="BN36" s="1"/>
  <c r="BS116"/>
  <c r="BR118"/>
  <c r="BG118" s="1"/>
  <c r="BW110"/>
  <c r="BW73" s="1"/>
  <c r="BW36" s="1"/>
  <c r="C132"/>
  <c r="BY54"/>
  <c r="BY37"/>
  <c r="BA75"/>
  <c r="BA116"/>
  <c r="BD75"/>
  <c r="BT116"/>
  <c r="BT110" s="1"/>
  <c r="BT73" s="1"/>
  <c r="BT36" s="1"/>
  <c r="AL7" i="15"/>
  <c r="I79" i="9" s="1"/>
  <c r="C79" s="1"/>
  <c r="BY79" s="1"/>
  <c r="AJ6" i="15"/>
  <c r="AQ36"/>
  <c r="AR36" s="1"/>
  <c r="AY36" s="1"/>
  <c r="BA36" s="1"/>
  <c r="BC36" s="1"/>
  <c r="AE6"/>
  <c r="AM6"/>
  <c r="O169"/>
  <c r="O167"/>
  <c r="AQ127"/>
  <c r="AR127" s="1"/>
  <c r="AY127" s="1"/>
  <c r="BA127" s="1"/>
  <c r="AQ100"/>
  <c r="AR100" s="1"/>
  <c r="AQ159"/>
  <c r="AR159" s="1"/>
  <c r="AY159" s="1"/>
  <c r="BA159" s="1"/>
  <c r="AQ128"/>
  <c r="AR128" s="1"/>
  <c r="AY128" s="1"/>
  <c r="BA128" s="1"/>
  <c r="AQ120"/>
  <c r="AR120" s="1"/>
  <c r="AY120" s="1"/>
  <c r="BA120" s="1"/>
  <c r="AQ155"/>
  <c r="AR155" s="1"/>
  <c r="AY155" s="1"/>
  <c r="BA155" s="1"/>
  <c r="AQ130"/>
  <c r="AR130" s="1"/>
  <c r="AY130" s="1"/>
  <c r="BA130" s="1"/>
  <c r="AQ123"/>
  <c r="AR123" s="1"/>
  <c r="AY123" s="1"/>
  <c r="BA123" s="1"/>
  <c r="AQ122"/>
  <c r="AR122" s="1"/>
  <c r="AY122" s="1"/>
  <c r="BA122" s="1"/>
  <c r="AQ114"/>
  <c r="AR114" s="1"/>
  <c r="AY114" s="1"/>
  <c r="BA114" s="1"/>
  <c r="AQ109"/>
  <c r="AR109" s="1"/>
  <c r="AY109" s="1"/>
  <c r="BA109" s="1"/>
  <c r="AQ124"/>
  <c r="AR124" s="1"/>
  <c r="AY124" s="1"/>
  <c r="BA124" s="1"/>
  <c r="AQ125"/>
  <c r="AR125" s="1"/>
  <c r="AY125" s="1"/>
  <c r="BA125" s="1"/>
  <c r="C169"/>
  <c r="C167"/>
  <c r="AA167" s="1"/>
  <c r="AQ40"/>
  <c r="AR40" s="1"/>
  <c r="AY40" s="1"/>
  <c r="BA40" s="1"/>
  <c r="AQ45"/>
  <c r="AR45" s="1"/>
  <c r="AY45" s="1"/>
  <c r="BA45" s="1"/>
  <c r="AQ47"/>
  <c r="AR47" s="1"/>
  <c r="AY47" s="1"/>
  <c r="BA47" s="1"/>
  <c r="AQ48"/>
  <c r="AR48" s="1"/>
  <c r="AY48" s="1"/>
  <c r="BA48" s="1"/>
  <c r="AQ51"/>
  <c r="AR51" s="1"/>
  <c r="AY51" s="1"/>
  <c r="BA51" s="1"/>
  <c r="AQ62"/>
  <c r="AR62" s="1"/>
  <c r="AY62" s="1"/>
  <c r="BA62" s="1"/>
  <c r="AQ115"/>
  <c r="AR115" s="1"/>
  <c r="AY115" s="1"/>
  <c r="BA115" s="1"/>
  <c r="AQ126"/>
  <c r="AR126" s="1"/>
  <c r="AY126" s="1"/>
  <c r="BA126" s="1"/>
  <c r="AQ143"/>
  <c r="AR143" s="1"/>
  <c r="AY143" s="1"/>
  <c r="BA143" s="1"/>
  <c r="AQ147"/>
  <c r="AR147" s="1"/>
  <c r="AY147" s="1"/>
  <c r="BA147" s="1"/>
  <c r="AQ144"/>
  <c r="AR144" s="1"/>
  <c r="AY144" s="1"/>
  <c r="BA144" s="1"/>
  <c r="AQ151"/>
  <c r="AR151" s="1"/>
  <c r="AY151" s="1"/>
  <c r="BA151" s="1"/>
  <c r="AQ121"/>
  <c r="AR121" s="1"/>
  <c r="AY121" s="1"/>
  <c r="BA121" s="1"/>
  <c r="AQ132"/>
  <c r="AR132" s="1"/>
  <c r="AY132" s="1"/>
  <c r="BA132" s="1"/>
  <c r="AQ136"/>
  <c r="AR136" s="1"/>
  <c r="AQ152"/>
  <c r="AR152" s="1"/>
  <c r="AY152" s="1"/>
  <c r="BA152" s="1"/>
  <c r="AQ148"/>
  <c r="AR148" s="1"/>
  <c r="AY148" s="1"/>
  <c r="BA148" s="1"/>
  <c r="AQ164"/>
  <c r="AR164" s="1"/>
  <c r="AY164" s="1"/>
  <c r="BA164" s="1"/>
  <c r="AQ150"/>
  <c r="AR150" s="1"/>
  <c r="AY150" s="1"/>
  <c r="BA150" s="1"/>
  <c r="AQ154"/>
  <c r="AR154" s="1"/>
  <c r="AY154" s="1"/>
  <c r="BA154" s="1"/>
  <c r="AQ160"/>
  <c r="AR160" s="1"/>
  <c r="AY160" s="1"/>
  <c r="BA160" s="1"/>
  <c r="AQ161"/>
  <c r="AR161" s="1"/>
  <c r="AY161" s="1"/>
  <c r="BA161" s="1"/>
  <c r="AQ145"/>
  <c r="AR145" s="1"/>
  <c r="AY145" s="1"/>
  <c r="BA145" s="1"/>
  <c r="AQ153"/>
  <c r="AR153" s="1"/>
  <c r="AY153" s="1"/>
  <c r="BA153" s="1"/>
  <c r="AQ156"/>
  <c r="AR156" s="1"/>
  <c r="AY156" s="1"/>
  <c r="BA156" s="1"/>
  <c r="AQ157"/>
  <c r="AR157" s="1"/>
  <c r="AY157" s="1"/>
  <c r="BA157" s="1"/>
  <c r="AR163"/>
  <c r="AY163" s="1"/>
  <c r="BA163" s="1"/>
  <c r="AQ158"/>
  <c r="AR158" s="1"/>
  <c r="AY158" s="1"/>
  <c r="BA158" s="1"/>
  <c r="AQ162"/>
  <c r="AR162" s="1"/>
  <c r="AY162" s="1"/>
  <c r="BA162" s="1"/>
  <c r="AY104" l="1"/>
  <c r="BA104" s="1"/>
  <c r="AY102"/>
  <c r="BA102" s="1"/>
  <c r="BB102" s="1"/>
  <c r="BC102" s="1"/>
  <c r="BD102" s="1"/>
  <c r="BC37"/>
  <c r="BD37" s="1"/>
  <c r="AY137"/>
  <c r="BA137" s="1"/>
  <c r="BB137" s="1"/>
  <c r="BC137" s="1"/>
  <c r="BD137" s="1"/>
  <c r="AA5"/>
  <c r="AY134"/>
  <c r="BA134" s="1"/>
  <c r="BB134" s="1"/>
  <c r="BC134" s="1"/>
  <c r="BD134" s="1"/>
  <c r="AY105"/>
  <c r="BA105" s="1"/>
  <c r="BB105" s="1"/>
  <c r="BC105" s="1"/>
  <c r="BD105" s="1"/>
  <c r="AY55"/>
  <c r="BA55" s="1"/>
  <c r="BM75" i="9"/>
  <c r="BM74" s="1"/>
  <c r="BG74" s="1"/>
  <c r="AY52" i="15"/>
  <c r="BA52" s="1"/>
  <c r="BB52" s="1"/>
  <c r="BC52" s="1"/>
  <c r="BD52" s="1"/>
  <c r="AY138"/>
  <c r="BA138" s="1"/>
  <c r="AQ108"/>
  <c r="AR108" s="1"/>
  <c r="AY108" s="1"/>
  <c r="BA108" s="1"/>
  <c r="BB108" s="1"/>
  <c r="BC108" s="1"/>
  <c r="BD108" s="1"/>
  <c r="AY54"/>
  <c r="BA54" s="1"/>
  <c r="BB54" s="1"/>
  <c r="BC54" s="1"/>
  <c r="BD54" s="1"/>
  <c r="C94" i="9"/>
  <c r="BY94" s="1"/>
  <c r="AY136" i="15"/>
  <c r="BA136" s="1"/>
  <c r="BB136" s="1"/>
  <c r="BC136" s="1"/>
  <c r="BD136" s="1"/>
  <c r="AP146"/>
  <c r="AQ146" s="1"/>
  <c r="AR146" s="1"/>
  <c r="AY146" s="1"/>
  <c r="BA146" s="1"/>
  <c r="AQ135"/>
  <c r="AR135" s="1"/>
  <c r="AY135" s="1"/>
  <c r="BA135" s="1"/>
  <c r="BB135" s="1"/>
  <c r="BC135" s="1"/>
  <c r="BD135" s="1"/>
  <c r="AR139"/>
  <c r="AY139" s="1"/>
  <c r="BA139" s="1"/>
  <c r="BB139" s="1"/>
  <c r="BC139" s="1"/>
  <c r="BD139" s="1"/>
  <c r="AY68"/>
  <c r="BA68" s="1"/>
  <c r="BB68" s="1"/>
  <c r="BC68" s="1"/>
  <c r="BD68" s="1"/>
  <c r="O76" i="9"/>
  <c r="O100" s="1"/>
  <c r="O75" s="1"/>
  <c r="O74" s="1"/>
  <c r="AY103" i="15"/>
  <c r="BA103" s="1"/>
  <c r="BB103" s="1"/>
  <c r="BC103" s="1"/>
  <c r="BD103" s="1"/>
  <c r="AQ93"/>
  <c r="AR93" s="1"/>
  <c r="AY93" s="1"/>
  <c r="BA93" s="1"/>
  <c r="BB93" s="1"/>
  <c r="BC93" s="1"/>
  <c r="BD93" s="1"/>
  <c r="AP56"/>
  <c r="AQ56" s="1"/>
  <c r="AR56" s="1"/>
  <c r="AY56" s="1"/>
  <c r="BA56" s="1"/>
  <c r="BB56" s="1"/>
  <c r="BC56" s="1"/>
  <c r="BD56" s="1"/>
  <c r="AY53"/>
  <c r="BA53" s="1"/>
  <c r="BB53" s="1"/>
  <c r="BC53" s="1"/>
  <c r="BD53" s="1"/>
  <c r="AP57"/>
  <c r="AQ57" s="1"/>
  <c r="AR57" s="1"/>
  <c r="AY57" s="1"/>
  <c r="BA57" s="1"/>
  <c r="BB57" s="1"/>
  <c r="BC57" s="1"/>
  <c r="BD57" s="1"/>
  <c r="AY61"/>
  <c r="BA61" s="1"/>
  <c r="BB61" s="1"/>
  <c r="BC61" s="1"/>
  <c r="BD61" s="1"/>
  <c r="AY59"/>
  <c r="BA59" s="1"/>
  <c r="AY79"/>
  <c r="BA79" s="1"/>
  <c r="BB79" s="1"/>
  <c r="BC79" s="1"/>
  <c r="BD79" s="1"/>
  <c r="AY90"/>
  <c r="BA90" s="1"/>
  <c r="BB90" s="1"/>
  <c r="BC90" s="1"/>
  <c r="BD90" s="1"/>
  <c r="AY94"/>
  <c r="BA94" s="1"/>
  <c r="BB94" s="1"/>
  <c r="BC94" s="1"/>
  <c r="BD94" s="1"/>
  <c r="AY72"/>
  <c r="BA72" s="1"/>
  <c r="BB72" s="1"/>
  <c r="BC72" s="1"/>
  <c r="BD72" s="1"/>
  <c r="AY87"/>
  <c r="BA87" s="1"/>
  <c r="BB87" s="1"/>
  <c r="BC87" s="1"/>
  <c r="BD87" s="1"/>
  <c r="AY78"/>
  <c r="BA78" s="1"/>
  <c r="BB78" s="1"/>
  <c r="BC78" s="1"/>
  <c r="BD78" s="1"/>
  <c r="AY89"/>
  <c r="BA89" s="1"/>
  <c r="BB89" s="1"/>
  <c r="BC89" s="1"/>
  <c r="BD89" s="1"/>
  <c r="AY80"/>
  <c r="BA80" s="1"/>
  <c r="BB80" s="1"/>
  <c r="BC80" s="1"/>
  <c r="BD80" s="1"/>
  <c r="AY73"/>
  <c r="BA73" s="1"/>
  <c r="BB73" s="1"/>
  <c r="BC73" s="1"/>
  <c r="BD73" s="1"/>
  <c r="AY83"/>
  <c r="BA83" s="1"/>
  <c r="BB83" s="1"/>
  <c r="BC83" s="1"/>
  <c r="BD83" s="1"/>
  <c r="AY74"/>
  <c r="BA74" s="1"/>
  <c r="BB74" s="1"/>
  <c r="BC74" s="1"/>
  <c r="BD74" s="1"/>
  <c r="AY65"/>
  <c r="BA65" s="1"/>
  <c r="BB65" s="1"/>
  <c r="BC65" s="1"/>
  <c r="BD65" s="1"/>
  <c r="AY81"/>
  <c r="BA81" s="1"/>
  <c r="BB81" s="1"/>
  <c r="BC81" s="1"/>
  <c r="BD81" s="1"/>
  <c r="AQ58"/>
  <c r="AR58" s="1"/>
  <c r="AY58" s="1"/>
  <c r="BA58" s="1"/>
  <c r="BB58" s="1"/>
  <c r="BC58" s="1"/>
  <c r="BD58" s="1"/>
  <c r="AY96"/>
  <c r="BA96" s="1"/>
  <c r="BB96" s="1"/>
  <c r="BC96" s="1"/>
  <c r="BD96" s="1"/>
  <c r="AY76"/>
  <c r="BA76" s="1"/>
  <c r="BB76" s="1"/>
  <c r="BC76" s="1"/>
  <c r="BD76" s="1"/>
  <c r="AU100"/>
  <c r="AY100" s="1"/>
  <c r="BA100" s="1"/>
  <c r="BB100" s="1"/>
  <c r="BC100" s="1"/>
  <c r="BD100" s="1"/>
  <c r="AY86"/>
  <c r="BA86" s="1"/>
  <c r="BB86" s="1"/>
  <c r="BC86" s="1"/>
  <c r="BD86" s="1"/>
  <c r="AY77"/>
  <c r="BA77" s="1"/>
  <c r="BB77" s="1"/>
  <c r="BC77" s="1"/>
  <c r="BD77" s="1"/>
  <c r="AU99"/>
  <c r="AY99" s="1"/>
  <c r="BA99" s="1"/>
  <c r="BB99" s="1"/>
  <c r="BC99" s="1"/>
  <c r="BD99" s="1"/>
  <c r="AY91"/>
  <c r="BA91" s="1"/>
  <c r="BB91" s="1"/>
  <c r="BC91" s="1"/>
  <c r="BD91" s="1"/>
  <c r="AY75"/>
  <c r="BA75" s="1"/>
  <c r="BB75" s="1"/>
  <c r="BC75" s="1"/>
  <c r="BD75" s="1"/>
  <c r="AY70"/>
  <c r="BA70" s="1"/>
  <c r="BB70" s="1"/>
  <c r="BC70" s="1"/>
  <c r="BD70" s="1"/>
  <c r="AY95"/>
  <c r="BA95" s="1"/>
  <c r="BB95" s="1"/>
  <c r="BC95" s="1"/>
  <c r="BD95" s="1"/>
  <c r="AY82"/>
  <c r="BA82" s="1"/>
  <c r="BB82" s="1"/>
  <c r="BC82" s="1"/>
  <c r="BD82" s="1"/>
  <c r="AY71"/>
  <c r="BA71" s="1"/>
  <c r="BB71" s="1"/>
  <c r="BC71" s="1"/>
  <c r="BD71" s="1"/>
  <c r="AY66"/>
  <c r="BA66" s="1"/>
  <c r="BB66" s="1"/>
  <c r="BC66" s="1"/>
  <c r="BD66" s="1"/>
  <c r="AY97"/>
  <c r="BA97" s="1"/>
  <c r="BB97" s="1"/>
  <c r="BC97" s="1"/>
  <c r="BD97" s="1"/>
  <c r="AY84"/>
  <c r="BA84" s="1"/>
  <c r="BB84" s="1"/>
  <c r="BC84" s="1"/>
  <c r="BD84" s="1"/>
  <c r="AY67"/>
  <c r="BA67" s="1"/>
  <c r="BB67" s="1"/>
  <c r="BC67" s="1"/>
  <c r="BD67" s="1"/>
  <c r="AY88"/>
  <c r="BA88" s="1"/>
  <c r="BB88" s="1"/>
  <c r="BC88" s="1"/>
  <c r="BD88" s="1"/>
  <c r="AY85"/>
  <c r="BA85" s="1"/>
  <c r="BB85" s="1"/>
  <c r="BC85" s="1"/>
  <c r="BD85" s="1"/>
  <c r="AY92"/>
  <c r="BA92" s="1"/>
  <c r="BB92" s="1"/>
  <c r="BC92" s="1"/>
  <c r="BD92" s="1"/>
  <c r="AY60"/>
  <c r="BA60" s="1"/>
  <c r="BB60" s="1"/>
  <c r="BC60" s="1"/>
  <c r="BD60" s="1"/>
  <c r="AA169"/>
  <c r="S5"/>
  <c r="W5"/>
  <c r="AV5"/>
  <c r="AX5"/>
  <c r="Y5"/>
  <c r="AZ5"/>
  <c r="BB5"/>
  <c r="AR5"/>
  <c r="Z5"/>
  <c r="K76" i="9"/>
  <c r="K100" s="1"/>
  <c r="K75" s="1"/>
  <c r="AL5" i="15"/>
  <c r="AB5"/>
  <c r="C95" i="9"/>
  <c r="BY95" s="1"/>
  <c r="AC5" i="15"/>
  <c r="H76" i="9"/>
  <c r="H100" s="1"/>
  <c r="F76"/>
  <c r="F100" s="1"/>
  <c r="F75" s="1"/>
  <c r="AP5" i="15"/>
  <c r="AT5"/>
  <c r="U5"/>
  <c r="AI5"/>
  <c r="AF5"/>
  <c r="L76" i="9"/>
  <c r="L100" s="1"/>
  <c r="I76"/>
  <c r="I100" s="1"/>
  <c r="I75" s="1"/>
  <c r="AN5" i="15"/>
  <c r="AH5"/>
  <c r="AK5"/>
  <c r="V5"/>
  <c r="X5"/>
  <c r="D76" i="9"/>
  <c r="AG5" i="15"/>
  <c r="T5"/>
  <c r="AQ23"/>
  <c r="AQ18"/>
  <c r="AM5"/>
  <c r="J78" i="9"/>
  <c r="J76" s="1"/>
  <c r="J100" s="1"/>
  <c r="R5" i="15"/>
  <c r="AD18"/>
  <c r="C90" i="9"/>
  <c r="BY90" s="1"/>
  <c r="C91"/>
  <c r="BY91" s="1"/>
  <c r="N76"/>
  <c r="AJ5" i="15"/>
  <c r="G78" i="9"/>
  <c r="C78" s="1"/>
  <c r="AO5" i="15"/>
  <c r="BX73" i="9"/>
  <c r="BX36" s="1"/>
  <c r="BY132"/>
  <c r="AZ75"/>
  <c r="Q75"/>
  <c r="BS110"/>
  <c r="BR110" s="1"/>
  <c r="BR116"/>
  <c r="BG116" s="1"/>
  <c r="BD110"/>
  <c r="BC110" s="1"/>
  <c r="BC116"/>
  <c r="BC75"/>
  <c r="BI110"/>
  <c r="BR75"/>
  <c r="CA110"/>
  <c r="BZ110" s="1"/>
  <c r="BZ116"/>
  <c r="BA110"/>
  <c r="AZ110" s="1"/>
  <c r="AZ116"/>
  <c r="R110"/>
  <c r="Q110" s="1"/>
  <c r="Q116"/>
  <c r="BZ75"/>
  <c r="M75"/>
  <c r="M74" s="1"/>
  <c r="BB153" i="15"/>
  <c r="BC153" s="1"/>
  <c r="BD153" s="1"/>
  <c r="BB146"/>
  <c r="BC146" s="1"/>
  <c r="BD146" s="1"/>
  <c r="BB145"/>
  <c r="BC145" s="1"/>
  <c r="BD145" s="1"/>
  <c r="BB164"/>
  <c r="BC164" s="1"/>
  <c r="BD164" s="1"/>
  <c r="BB59"/>
  <c r="BC59" s="1"/>
  <c r="BD59" s="1"/>
  <c r="BB55"/>
  <c r="BC55" s="1"/>
  <c r="BD55" s="1"/>
  <c r="BB51"/>
  <c r="BC51" s="1"/>
  <c r="BD51" s="1"/>
  <c r="BB45"/>
  <c r="BC45" s="1"/>
  <c r="BD45" s="1"/>
  <c r="BB40"/>
  <c r="BC40" s="1"/>
  <c r="BD40" s="1"/>
  <c r="BB161"/>
  <c r="BC161" s="1"/>
  <c r="BD161" s="1"/>
  <c r="BB129"/>
  <c r="BC129" s="1"/>
  <c r="BD129" s="1"/>
  <c r="BB111"/>
  <c r="BC111" s="1"/>
  <c r="BD111" s="1"/>
  <c r="BB115"/>
  <c r="BC115" s="1"/>
  <c r="BD115" s="1"/>
  <c r="BB63"/>
  <c r="BC63" s="1"/>
  <c r="BD63" s="1"/>
  <c r="BB44"/>
  <c r="BC44" s="1"/>
  <c r="BD44" s="1"/>
  <c r="BB39"/>
  <c r="BC39" s="1"/>
  <c r="BD39" s="1"/>
  <c r="BB125"/>
  <c r="BC125" s="1"/>
  <c r="BD125" s="1"/>
  <c r="BB119"/>
  <c r="BC119" s="1"/>
  <c r="BD119" s="1"/>
  <c r="BB106"/>
  <c r="BC106" s="1"/>
  <c r="BD106" s="1"/>
  <c r="BB133"/>
  <c r="BC133" s="1"/>
  <c r="BD133" s="1"/>
  <c r="BB126"/>
  <c r="BC126" s="1"/>
  <c r="BD126" s="1"/>
  <c r="BB62"/>
  <c r="BC62" s="1"/>
  <c r="BD62" s="1"/>
  <c r="BB48"/>
  <c r="BC48" s="1"/>
  <c r="BD48" s="1"/>
  <c r="BB43"/>
  <c r="BC43" s="1"/>
  <c r="BD43" s="1"/>
  <c r="BB157"/>
  <c r="BC157" s="1"/>
  <c r="BD157" s="1"/>
  <c r="BB160"/>
  <c r="BC160" s="1"/>
  <c r="BD160" s="1"/>
  <c r="BB158"/>
  <c r="BC158" s="1"/>
  <c r="BD158" s="1"/>
  <c r="BB142"/>
  <c r="BC142" s="1"/>
  <c r="BD142" s="1"/>
  <c r="BB141"/>
  <c r="BC141" s="1"/>
  <c r="BD141" s="1"/>
  <c r="BB47"/>
  <c r="BC47" s="1"/>
  <c r="BD47" s="1"/>
  <c r="BB41"/>
  <c r="BC41" s="1"/>
  <c r="BD41" s="1"/>
  <c r="BB150"/>
  <c r="BC150" s="1"/>
  <c r="BD150" s="1"/>
  <c r="BB132"/>
  <c r="BC132" s="1"/>
  <c r="BD132" s="1"/>
  <c r="BB151"/>
  <c r="BC151" s="1"/>
  <c r="BD151" s="1"/>
  <c r="BB112"/>
  <c r="BC112" s="1"/>
  <c r="BD112" s="1"/>
  <c r="BB131"/>
  <c r="BC131" s="1"/>
  <c r="BD131" s="1"/>
  <c r="BB49"/>
  <c r="BC49" s="1"/>
  <c r="BD49" s="1"/>
  <c r="BB152"/>
  <c r="BC152" s="1"/>
  <c r="BD152" s="1"/>
  <c r="BB122"/>
  <c r="BC122" s="1"/>
  <c r="BD122" s="1"/>
  <c r="BB127"/>
  <c r="BC127" s="1"/>
  <c r="BD127" s="1"/>
  <c r="BB123"/>
  <c r="BC123" s="1"/>
  <c r="BD123" s="1"/>
  <c r="BB64"/>
  <c r="BC64" s="1"/>
  <c r="BD64" s="1"/>
  <c r="BB130"/>
  <c r="BC130" s="1"/>
  <c r="BD130" s="1"/>
  <c r="BB109"/>
  <c r="BC109" s="1"/>
  <c r="BD109" s="1"/>
  <c r="BB107"/>
  <c r="BC107" s="1"/>
  <c r="BD107" s="1"/>
  <c r="BB162"/>
  <c r="BC162" s="1"/>
  <c r="BD162" s="1"/>
  <c r="BB154"/>
  <c r="BC154" s="1"/>
  <c r="BD154" s="1"/>
  <c r="BB149"/>
  <c r="BC149" s="1"/>
  <c r="BD149" s="1"/>
  <c r="BB155"/>
  <c r="BC155" s="1"/>
  <c r="BD155" s="1"/>
  <c r="BB159"/>
  <c r="BC159" s="1"/>
  <c r="BD159" s="1"/>
  <c r="BB140"/>
  <c r="BC140" s="1"/>
  <c r="BD140" s="1"/>
  <c r="BB104"/>
  <c r="BC104" s="1"/>
  <c r="BD104" s="1"/>
  <c r="C171"/>
  <c r="BB114"/>
  <c r="BC114" s="1"/>
  <c r="BD114" s="1"/>
  <c r="BB120"/>
  <c r="BC120" s="1"/>
  <c r="BD120" s="1"/>
  <c r="O171"/>
  <c r="AE5"/>
  <c r="AD5" s="1"/>
  <c r="AQ6"/>
  <c r="BC35" s="1"/>
  <c r="BD35" s="1"/>
  <c r="BB163"/>
  <c r="BC163" s="1"/>
  <c r="BD163" s="1"/>
  <c r="BB156"/>
  <c r="BC156" s="1"/>
  <c r="BD156" s="1"/>
  <c r="BB147"/>
  <c r="BC147" s="1"/>
  <c r="BD147" s="1"/>
  <c r="BB121"/>
  <c r="BC121" s="1"/>
  <c r="BD121" s="1"/>
  <c r="BB143"/>
  <c r="BC143" s="1"/>
  <c r="BD143" s="1"/>
  <c r="BB124"/>
  <c r="BC124" s="1"/>
  <c r="BD124" s="1"/>
  <c r="BB110"/>
  <c r="BC110" s="1"/>
  <c r="BD110" s="1"/>
  <c r="BB148"/>
  <c r="BC148" s="1"/>
  <c r="BD148" s="1"/>
  <c r="BB117"/>
  <c r="BC117" s="1"/>
  <c r="BD117" s="1"/>
  <c r="BB144"/>
  <c r="BC144" s="1"/>
  <c r="BD144" s="1"/>
  <c r="BB138"/>
  <c r="BC138" s="1"/>
  <c r="BD138" s="1"/>
  <c r="BB116"/>
  <c r="BC116" s="1"/>
  <c r="BD116" s="1"/>
  <c r="BB128"/>
  <c r="BC128" s="1"/>
  <c r="BD128" s="1"/>
  <c r="BD36"/>
  <c r="E100" i="9"/>
  <c r="BD167" i="15" l="1"/>
  <c r="BG75" i="9"/>
  <c r="BM73"/>
  <c r="BM36" s="1"/>
  <c r="F74"/>
  <c r="F73" s="1"/>
  <c r="F36" s="1"/>
  <c r="K74"/>
  <c r="K73" s="1"/>
  <c r="K36" s="1"/>
  <c r="I74"/>
  <c r="I73" s="1"/>
  <c r="I36" s="1"/>
  <c r="L75"/>
  <c r="L74" s="1"/>
  <c r="L73" s="1"/>
  <c r="L36" s="1"/>
  <c r="AA171" i="15"/>
  <c r="J75" i="9"/>
  <c r="H75"/>
  <c r="BD169" i="15"/>
  <c r="C17" s="1"/>
  <c r="BY78" i="9"/>
  <c r="G76"/>
  <c r="N100"/>
  <c r="N75" s="1"/>
  <c r="BG110"/>
  <c r="BI73"/>
  <c r="BI36" s="1"/>
  <c r="BA73"/>
  <c r="BS73"/>
  <c r="BD73"/>
  <c r="R73"/>
  <c r="BZ73"/>
  <c r="CA73"/>
  <c r="M73"/>
  <c r="E75"/>
  <c r="E74" s="1"/>
  <c r="N74" l="1"/>
  <c r="J74"/>
  <c r="J73" s="1"/>
  <c r="J36" s="1"/>
  <c r="H74"/>
  <c r="H73" s="1"/>
  <c r="H36" s="1"/>
  <c r="M36"/>
  <c r="G100"/>
  <c r="C76"/>
  <c r="Q73"/>
  <c r="R36"/>
  <c r="Q36" s="1"/>
  <c r="BR73"/>
  <c r="BG73" s="1"/>
  <c r="BS36"/>
  <c r="BR36" s="1"/>
  <c r="BG36" s="1"/>
  <c r="BZ153"/>
  <c r="CA36"/>
  <c r="BC73"/>
  <c r="BD36"/>
  <c r="BC36" s="1"/>
  <c r="AZ73"/>
  <c r="BA36"/>
  <c r="AZ36" s="1"/>
  <c r="BZ36"/>
  <c r="BC153"/>
  <c r="BR153"/>
  <c r="BG153" s="1"/>
  <c r="Q153"/>
  <c r="E73"/>
  <c r="E36" s="1"/>
  <c r="AZ153"/>
  <c r="BD171" i="15"/>
  <c r="C18" s="1"/>
  <c r="C20" s="1"/>
  <c r="C16"/>
  <c r="BY76" i="9" l="1"/>
  <c r="D10" i="19" s="1"/>
  <c r="G75" i="9"/>
  <c r="G74" s="1"/>
  <c r="C100"/>
  <c r="BY100" l="1"/>
  <c r="D11" i="19" s="1"/>
  <c r="A10" s="1"/>
  <c r="C153" i="9"/>
  <c r="BY153" s="1"/>
  <c r="L14" i="8"/>
  <c r="N13"/>
  <c r="N12"/>
  <c r="N11"/>
  <c r="N10"/>
  <c r="N9"/>
  <c r="N8"/>
  <c r="S17" i="5"/>
  <c r="R17"/>
  <c r="Q17"/>
  <c r="P17"/>
  <c r="S15"/>
  <c r="R15"/>
  <c r="Q15"/>
  <c r="P15"/>
  <c r="S14"/>
  <c r="S13"/>
  <c r="S12"/>
  <c r="R11"/>
  <c r="Q11"/>
  <c r="P11"/>
  <c r="S10"/>
  <c r="S9" s="1"/>
  <c r="R9"/>
  <c r="Q9"/>
  <c r="P9"/>
  <c r="S8"/>
  <c r="S7"/>
  <c r="G73" i="9" l="1"/>
  <c r="P19" i="5"/>
  <c r="S11"/>
  <c r="Q19"/>
  <c r="S19"/>
  <c r="R19"/>
  <c r="N14" i="8"/>
  <c r="D35" i="19"/>
  <c r="E6" i="1"/>
  <c r="D12" i="12"/>
  <c r="D9" i="4"/>
  <c r="D36"/>
  <c r="D19" i="13"/>
  <c r="F19" s="1"/>
  <c r="H19" s="1"/>
  <c r="D20"/>
  <c r="F20" s="1"/>
  <c r="H20" s="1"/>
  <c r="D21"/>
  <c r="F21" s="1"/>
  <c r="H21" s="1"/>
  <c r="D22"/>
  <c r="F22" s="1"/>
  <c r="H22" s="1"/>
  <c r="D23"/>
  <c r="F23" s="1"/>
  <c r="H23" s="1"/>
  <c r="D24"/>
  <c r="F24" s="1"/>
  <c r="H24" s="1"/>
  <c r="D25"/>
  <c r="F25" s="1"/>
  <c r="H25" s="1"/>
  <c r="D26"/>
  <c r="F26" s="1"/>
  <c r="H26" s="1"/>
  <c r="D27"/>
  <c r="F27" s="1"/>
  <c r="H27" s="1"/>
  <c r="D28"/>
  <c r="F28" s="1"/>
  <c r="H28" s="1"/>
  <c r="D29"/>
  <c r="F29" s="1"/>
  <c r="H29" s="1"/>
  <c r="F18"/>
  <c r="H18" s="1"/>
  <c r="D38" i="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9"/>
  <c r="D40"/>
  <c r="D41"/>
  <c r="D42"/>
  <c r="D43"/>
  <c r="D44"/>
  <c r="D45"/>
  <c r="D46"/>
  <c r="D47"/>
  <c r="D48"/>
  <c r="D49"/>
  <c r="D50"/>
  <c r="D51"/>
  <c r="D53"/>
  <c r="D34" i="19" l="1"/>
  <c r="G36" i="9"/>
  <c r="E21" i="4"/>
  <c r="H31" i="13"/>
  <c r="D55" i="12"/>
  <c r="D59" s="1"/>
  <c r="D22" i="19" l="1"/>
  <c r="I14" i="8"/>
  <c r="F14"/>
  <c r="K13"/>
  <c r="K12"/>
  <c r="K11"/>
  <c r="K10"/>
  <c r="K9"/>
  <c r="K8"/>
  <c r="H13"/>
  <c r="H12"/>
  <c r="H11"/>
  <c r="H10"/>
  <c r="H9"/>
  <c r="H8"/>
  <c r="C18" i="5"/>
  <c r="C17" s="1"/>
  <c r="C15"/>
  <c r="O7"/>
  <c r="O17"/>
  <c r="N17"/>
  <c r="M17"/>
  <c r="L17"/>
  <c r="O15"/>
  <c r="N15"/>
  <c r="M15"/>
  <c r="L15"/>
  <c r="O14"/>
  <c r="O13"/>
  <c r="O12"/>
  <c r="N11"/>
  <c r="M11"/>
  <c r="L11"/>
  <c r="O10"/>
  <c r="O9" s="1"/>
  <c r="N9"/>
  <c r="M9"/>
  <c r="L9"/>
  <c r="O8"/>
  <c r="C14" i="8"/>
  <c r="E13"/>
  <c r="E12"/>
  <c r="E11"/>
  <c r="E10"/>
  <c r="E9"/>
  <c r="E8"/>
  <c r="K15" i="5"/>
  <c r="J15"/>
  <c r="I15"/>
  <c r="H15"/>
  <c r="G15"/>
  <c r="E15"/>
  <c r="K17"/>
  <c r="J17"/>
  <c r="I17"/>
  <c r="H17"/>
  <c r="G17"/>
  <c r="E17"/>
  <c r="F11"/>
  <c r="H11"/>
  <c r="I11"/>
  <c r="J11"/>
  <c r="E401" i="1"/>
  <c r="E396"/>
  <c r="K14" i="5"/>
  <c r="K13"/>
  <c r="K12"/>
  <c r="K10"/>
  <c r="K9" s="1"/>
  <c r="J9"/>
  <c r="I9"/>
  <c r="H9"/>
  <c r="K8"/>
  <c r="K7"/>
  <c r="G14"/>
  <c r="G13"/>
  <c r="G12"/>
  <c r="G10"/>
  <c r="G9" s="1"/>
  <c r="G8"/>
  <c r="G7"/>
  <c r="E9"/>
  <c r="F9"/>
  <c r="D9"/>
  <c r="C111" i="9" l="1"/>
  <c r="BY111" s="1"/>
  <c r="L19" i="5"/>
  <c r="G19"/>
  <c r="C13"/>
  <c r="H19"/>
  <c r="C8"/>
  <c r="C14"/>
  <c r="I19"/>
  <c r="M19"/>
  <c r="K19"/>
  <c r="J19"/>
  <c r="C12"/>
  <c r="O19"/>
  <c r="N19"/>
  <c r="O11"/>
  <c r="C10"/>
  <c r="C9" s="1"/>
  <c r="D14" i="19" s="1"/>
  <c r="K11" i="5"/>
  <c r="C7"/>
  <c r="D13" i="19" s="1"/>
  <c r="E14" i="8"/>
  <c r="H14"/>
  <c r="K14"/>
  <c r="G11" i="5"/>
  <c r="C11" l="1"/>
  <c r="C19" l="1"/>
  <c r="D15" i="19"/>
  <c r="D12" s="1"/>
  <c r="E105" i="4"/>
  <c r="E30"/>
  <c r="E29"/>
  <c r="E28"/>
  <c r="E26"/>
  <c r="C124" i="9" s="1"/>
  <c r="BY124" s="1"/>
  <c r="C99" l="1"/>
  <c r="BY99" s="1"/>
  <c r="D75"/>
  <c r="D20" i="19"/>
  <c r="E31" i="4"/>
  <c r="D74" i="9" l="1"/>
  <c r="C75"/>
  <c r="BY75" s="1"/>
  <c r="C121"/>
  <c r="BY121" s="1"/>
  <c r="E358" i="1"/>
  <c r="E170"/>
  <c r="D33" i="19" l="1"/>
  <c r="D36"/>
  <c r="C149" i="9"/>
  <c r="BY149" s="1"/>
  <c r="D73"/>
  <c r="D36" s="1"/>
  <c r="C74"/>
  <c r="BY74" s="1"/>
  <c r="C118"/>
  <c r="BY118" s="1"/>
  <c r="D27" i="19" l="1"/>
  <c r="D19" s="1"/>
  <c r="D9" s="1"/>
  <c r="D2" s="1"/>
  <c r="C148" i="9"/>
  <c r="BY148" s="1"/>
  <c r="O110"/>
  <c r="O73" s="1"/>
  <c r="O36" s="1"/>
  <c r="N110"/>
  <c r="C116"/>
  <c r="BY116" s="1"/>
  <c r="BY110" l="1"/>
  <c r="N73"/>
  <c r="N36" l="1"/>
  <c r="C36" s="1"/>
  <c r="BY36" s="1"/>
  <c r="I28"/>
  <c r="H29"/>
  <c r="M29"/>
  <c r="D31"/>
  <c r="I34"/>
  <c r="L28"/>
  <c r="K29"/>
  <c r="M28"/>
  <c r="E28"/>
  <c r="D34"/>
  <c r="I32"/>
  <c r="J28"/>
  <c r="F28"/>
  <c r="K28"/>
  <c r="L29"/>
  <c r="D32"/>
  <c r="D29"/>
  <c r="E29"/>
  <c r="H28"/>
  <c r="I29"/>
  <c r="J29"/>
  <c r="F29"/>
  <c r="D33"/>
  <c r="D28"/>
  <c r="G29"/>
  <c r="G28"/>
  <c r="C73"/>
  <c r="BY73" s="1"/>
</calcChain>
</file>

<file path=xl/sharedStrings.xml><?xml version="1.0" encoding="utf-8"?>
<sst xmlns="http://schemas.openxmlformats.org/spreadsheetml/2006/main" count="3607" uniqueCount="1104">
  <si>
    <t>Количество</t>
  </si>
  <si>
    <t>Средняя стоимость, руб.</t>
  </si>
  <si>
    <t>КОСГУ</t>
  </si>
  <si>
    <t>Ставка налога, %</t>
  </si>
  <si>
    <t xml:space="preserve">Сумма, руб. </t>
  </si>
  <si>
    <t>Сумма, руб.</t>
  </si>
  <si>
    <t>х</t>
  </si>
  <si>
    <t>единицы измерения</t>
  </si>
  <si>
    <t>строительные материалы</t>
  </si>
  <si>
    <t>в том числе</t>
  </si>
  <si>
    <t>Наименование налога, обязательного взноса</t>
  </si>
  <si>
    <t>Налоговая база</t>
  </si>
  <si>
    <t xml:space="preserve">Сумма исчисленного налога, подлежащего уплате, руб. </t>
  </si>
  <si>
    <t>единицы измерения налоговой базы</t>
  </si>
  <si>
    <t>налог на имущество</t>
  </si>
  <si>
    <t>руб</t>
  </si>
  <si>
    <t>транспортный налог</t>
  </si>
  <si>
    <t>л.с.</t>
  </si>
  <si>
    <t>за средств субсидии на выполнение госзадания</t>
  </si>
  <si>
    <t>за счет средств средств от приносящей доход деятельности</t>
  </si>
  <si>
    <t>земельный налог</t>
  </si>
  <si>
    <t>Тариф (с учетом НДС), руб.</t>
  </si>
  <si>
    <t xml:space="preserve">единицы измерения </t>
  </si>
  <si>
    <t>Расход в натуральных показателях</t>
  </si>
  <si>
    <t>Мвт</t>
  </si>
  <si>
    <t>Гкал</t>
  </si>
  <si>
    <t>куб.м.</t>
  </si>
  <si>
    <t>Наименование показателя</t>
  </si>
  <si>
    <t>Размер одной выплаты, руб.</t>
  </si>
  <si>
    <t>Количество выплат в год</t>
  </si>
  <si>
    <t>СЗП по учр-ю</t>
  </si>
  <si>
    <t>Руководители</t>
  </si>
  <si>
    <t>211.01</t>
  </si>
  <si>
    <t>СЗП рук-лей</t>
  </si>
  <si>
    <t>211.02</t>
  </si>
  <si>
    <t>СЗП прочих раб</t>
  </si>
  <si>
    <t>Педагогические работники учреждений, имеющих лицензии на образовательную деятельность</t>
  </si>
  <si>
    <t>211.03</t>
  </si>
  <si>
    <t>Педагогические работники учреждений без лицензии на образовательную деятельность</t>
  </si>
  <si>
    <t>211.04</t>
  </si>
  <si>
    <t>мест</t>
  </si>
  <si>
    <t>Соотношение ЗПЛ рук-лей и раб-ков</t>
  </si>
  <si>
    <t>Врачи</t>
  </si>
  <si>
    <t>211.05</t>
  </si>
  <si>
    <t>в том числе отделение милосердия</t>
  </si>
  <si>
    <t>211.06</t>
  </si>
  <si>
    <t>календарных дней</t>
  </si>
  <si>
    <t>211.07</t>
  </si>
  <si>
    <t>часов в сутки</t>
  </si>
  <si>
    <t>Младший мед персонал</t>
  </si>
  <si>
    <t>211.08</t>
  </si>
  <si>
    <t>ночных часов в сутки</t>
  </si>
  <si>
    <t>Работники медицинских организаций, имеющих высшее медицинское (фармацевтическое) или иное высшее образование, предоставляющих медицинские услуги (обеспечивающих предоставление медицинских услуг)</t>
  </si>
  <si>
    <t>211.09</t>
  </si>
  <si>
    <t>праздничных дней по ТК + Сагаалган</t>
  </si>
  <si>
    <t>211.10</t>
  </si>
  <si>
    <t>211.11</t>
  </si>
  <si>
    <t>Работники РГУ</t>
  </si>
  <si>
    <t>211.12</t>
  </si>
  <si>
    <t>211.13</t>
  </si>
  <si>
    <t>Прочий персонал (ОСНОВНОЙ ПЕРСОНАЛ)</t>
  </si>
  <si>
    <t>211.14</t>
  </si>
  <si>
    <t>211.15</t>
  </si>
  <si>
    <t>211.16</t>
  </si>
  <si>
    <t>211.17</t>
  </si>
  <si>
    <t>(руб.)</t>
  </si>
  <si>
    <t>Должность (специальность, профессия), уровень, категория квалификации</t>
  </si>
  <si>
    <t>Должностной оклад</t>
  </si>
  <si>
    <t>Повышение окладов спец-ов за работу на селе</t>
  </si>
  <si>
    <t>Итого должностной оклад</t>
  </si>
  <si>
    <t>Стаж</t>
  </si>
  <si>
    <t>Класс водителям</t>
  </si>
  <si>
    <t>за награды, звания, степени</t>
  </si>
  <si>
    <t>за квалиф категорию медикам, педагогам</t>
  </si>
  <si>
    <t>МРОТ</t>
  </si>
  <si>
    <t>компенсац выплаты сверх МРОТ</t>
  </si>
  <si>
    <t>итого зарплата без стимулирующих</t>
  </si>
  <si>
    <t>Майские Указы</t>
  </si>
  <si>
    <t>ИТОГО заработная плата на одного работника с учетом северных</t>
  </si>
  <si>
    <t>заработная плата без учета выплат не входящих в МРОТ</t>
  </si>
  <si>
    <t>Доплата до МРОТ</t>
  </si>
  <si>
    <t>ночные</t>
  </si>
  <si>
    <t>праздничные</t>
  </si>
  <si>
    <t>за работу с вредными условиями труда</t>
  </si>
  <si>
    <t>заработная плата по ДорКарте</t>
  </si>
  <si>
    <t xml:space="preserve">А </t>
  </si>
  <si>
    <t>*</t>
  </si>
  <si>
    <t>из них на руководителей</t>
  </si>
  <si>
    <t>из них на прочих работников</t>
  </si>
  <si>
    <t>итого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</si>
  <si>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</si>
  <si>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</si>
  <si>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</si>
  <si>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за счет субсидии на выполнение госзадания</t>
  </si>
  <si>
    <t>Наименование работы, услуги</t>
  </si>
  <si>
    <t xml:space="preserve">Итого сумма исчисленного налога, подлежащего уплате, руб. </t>
  </si>
  <si>
    <t>код вида расходов 112</t>
  </si>
  <si>
    <t>транспортные услуги</t>
  </si>
  <si>
    <t>возмещение проезда к месту отпуска и обратно</t>
  </si>
  <si>
    <t>прочие работы, услуги</t>
  </si>
  <si>
    <t>проживание в командировках</t>
  </si>
  <si>
    <t>возмещение расходов на прохождение обязательного медосмотра</t>
  </si>
  <si>
    <t>суточные</t>
  </si>
  <si>
    <t>проезд в командировках</t>
  </si>
  <si>
    <t>Количество дней (только для расчета расходов на проживание в командировках)</t>
  </si>
  <si>
    <t>Сумма расходов итого, руб.</t>
  </si>
  <si>
    <t>за счет приносящей доход деятельности</t>
  </si>
  <si>
    <t>Таблица 6</t>
  </si>
  <si>
    <t>код вида расходов  243 "Закупка товаров, работ, услуг в целях капитального ремонта"</t>
  </si>
  <si>
    <t>код вида расходов 244 "Прочая закупка товаров, работ, услуг"</t>
  </si>
  <si>
    <t>код вида расходов 247 "Закупка энергетических ресурсов"</t>
  </si>
  <si>
    <t>теплоснабжение</t>
  </si>
  <si>
    <t>электроснабжение</t>
  </si>
  <si>
    <t>ИНЫЕ ВЫПЛАТЫ ПЕРСОНАЛУ</t>
  </si>
  <si>
    <t>код вида расходов 243 "Закупка товаров, работ, услуг в целях капитального ремонта"</t>
  </si>
  <si>
    <t>код вида расходов 244 "Прочая закупка товаров, работ, услуг</t>
  </si>
  <si>
    <t>*Наименование указываем по каждому виду основного средства, материального запаса</t>
  </si>
  <si>
    <t>*Наименование основного средства, материального запаса</t>
  </si>
  <si>
    <t>код вида расходов 407 "Строительство (реконструкция) объектов недвижимого имущества "</t>
  </si>
  <si>
    <t>код вида расходов 406 "Приобретение объектов недвижимого имущества "</t>
  </si>
  <si>
    <t>водный налог</t>
  </si>
  <si>
    <t>госпошлина</t>
  </si>
  <si>
    <t>код вида расходов 851 "Уплата налога на имущество организаций и земельного налога"</t>
  </si>
  <si>
    <t>код вида расходов 852 "Уплата прочих налогов, сборов"</t>
  </si>
  <si>
    <t>РАСХОДЫ НА УПЛАТУ НАЛОГОВ, ВЗНОСОВ И ПРОЧИХ ОБЯЗАТЕЛЬНЫХ ПЛАТЕЖЕЙ</t>
  </si>
  <si>
    <t>код вида расходов 853 "Уплата иных платежей"</t>
  </si>
  <si>
    <t>плата за негативное воздействие на окружающую среду</t>
  </si>
  <si>
    <t>взносы в Ассоциацию</t>
  </si>
  <si>
    <t>ВЫПЛАТЫ УМЕНЬШАЮЩИЕ ДОХОД</t>
  </si>
  <si>
    <t xml:space="preserve">Наименование </t>
  </si>
  <si>
    <t>налог на прибыль</t>
  </si>
  <si>
    <t>налог на добавленную стоимость</t>
  </si>
  <si>
    <t>налог при УСНО</t>
  </si>
  <si>
    <t>Налоговая база, руб</t>
  </si>
  <si>
    <t>ставка</t>
  </si>
  <si>
    <t>Сумма налога</t>
  </si>
  <si>
    <t>Таблица 7</t>
  </si>
  <si>
    <t xml:space="preserve">Общая сумма выплат, руб. </t>
  </si>
  <si>
    <t>Итого</t>
  </si>
  <si>
    <t>Количество дней (только для расчета суточных и расходов на проживание в командировках)</t>
  </si>
  <si>
    <t>код вида раходов 321 "пособия, компенсации и иные социальные выплаты гражданам, кроме публичных нормативных обязательств"</t>
  </si>
  <si>
    <t>Таблица 5</t>
  </si>
  <si>
    <t>за счет субсидии на иные цели</t>
  </si>
  <si>
    <t xml:space="preserve">сумма выплат, руб. </t>
  </si>
  <si>
    <t>код вида раходов 350 "премии и гранты"</t>
  </si>
  <si>
    <t>РАСЧЕТЫ РАСХОДОВ НА СОЦИАЛЬНЫЕ И ИНЫЕ ВЫПЛАТЫ</t>
  </si>
  <si>
    <t>РАСЧЕТ РАСХОДОВ НА ОПЛАТУ ТРУДА</t>
  </si>
  <si>
    <t>страховые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</si>
  <si>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</si>
  <si>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</si>
  <si>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>Наименование</t>
  </si>
  <si>
    <t>ставка, %</t>
  </si>
  <si>
    <t>код вида расходов 111 "Фонд оплаты труда учреждений"</t>
  </si>
  <si>
    <t>код вида расходов 119 "Взносы по обязательному социальному страхованию на выплаты по оплате труда работников и иные выплаты работникам учреждений"</t>
  </si>
  <si>
    <t>Таблица 8</t>
  </si>
  <si>
    <t>стоимость</t>
  </si>
  <si>
    <t>междугородняя связь</t>
  </si>
  <si>
    <t>местная, внутризоновая телефонная связь (указать количество абонентских номеров)</t>
  </si>
  <si>
    <t>интернет</t>
  </si>
  <si>
    <t>услуги почтовой связи</t>
  </si>
  <si>
    <t xml:space="preserve">Итого </t>
  </si>
  <si>
    <t>субсидия на выполнение госзадания</t>
  </si>
  <si>
    <t>субсидия на иные цели</t>
  </si>
  <si>
    <t>приносящая доход деятельность</t>
  </si>
  <si>
    <t>ВСЕГО</t>
  </si>
  <si>
    <t>субсидии на иные цели</t>
  </si>
  <si>
    <t>Расчет безвозмездных перечислений организациям и физическим лицам</t>
  </si>
  <si>
    <t>Таблица 4</t>
  </si>
  <si>
    <t>Наименование организации, ФИО лица, кому планируются перечисления</t>
  </si>
  <si>
    <t>количество перечислений в год</t>
  </si>
  <si>
    <t>размер перечисления</t>
  </si>
  <si>
    <t>сумма</t>
  </si>
  <si>
    <t xml:space="preserve">Расчет прочих расходов (кроме расходов на закупку товаров, работ, услуг) </t>
  </si>
  <si>
    <t>Наименование расхода</t>
  </si>
  <si>
    <t>количество выплат в год</t>
  </si>
  <si>
    <t>размер выплаты</t>
  </si>
  <si>
    <t>Итого сумма</t>
  </si>
  <si>
    <t>код вида расходов</t>
  </si>
  <si>
    <t>таблица 9</t>
  </si>
  <si>
    <t>Таблица 11</t>
  </si>
  <si>
    <t>ПЛАН</t>
  </si>
  <si>
    <t>субсидии на выполнение государственного задания</t>
  </si>
  <si>
    <t>ВСЕГО субсидии на иные цели</t>
  </si>
  <si>
    <t>Субсидии на осуществление капитальных вложений</t>
  </si>
  <si>
    <t>Средства по ОМС</t>
  </si>
  <si>
    <t>ВСЕГО собственные доходы учреждения</t>
  </si>
  <si>
    <t>собственные доходы учреждения</t>
  </si>
  <si>
    <t>ИТОГО ПФХД</t>
  </si>
  <si>
    <t>Кроме того</t>
  </si>
  <si>
    <t>ВСЕГО субсидии на выполнение госзадания</t>
  </si>
  <si>
    <t>ненормируемые расходы</t>
  </si>
  <si>
    <t>Всего</t>
  </si>
  <si>
    <t>оплата клиентов за предоставление дополнительных социальных услуг</t>
  </si>
  <si>
    <t>Социальное пособие на погребение</t>
  </si>
  <si>
    <r>
      <t xml:space="preserve">Доходы от доп. услуг </t>
    </r>
    <r>
      <rPr>
        <sz val="8"/>
        <rFont val="Times New Roman"/>
        <family val="1"/>
        <charset val="204"/>
      </rPr>
      <t>(гостиница, выпечка хлеба, готовые обеды, медицинские услуги, транспортные услуги и т.п.)</t>
    </r>
  </si>
  <si>
    <r>
      <t xml:space="preserve">Доходы от приносящей доход деят-ти </t>
    </r>
    <r>
      <rPr>
        <sz val="8"/>
        <rFont val="Times New Roman"/>
        <family val="1"/>
        <charset val="204"/>
      </rPr>
      <t>(в т.ч. подс. хоз-во, пилорама и т.д.)</t>
    </r>
  </si>
  <si>
    <t>доходы от розничной торговой деятельности</t>
  </si>
  <si>
    <t>безвозмездные поступления и прочее</t>
  </si>
  <si>
    <t>остаток средств на личных счетах подопечных</t>
  </si>
  <si>
    <t>денежные средства на личные нужды подопечных, расходуемые  с согл-я Опеки</t>
  </si>
  <si>
    <t>Реализация основных профессиональных образовательных программ профессионального обучения</t>
  </si>
  <si>
    <t>Работа по методическому сопровождению деятельности учреждений социального обслуживания при апробации методик и технологий в социальном обслуживании граждан</t>
  </si>
  <si>
    <t xml:space="preserve"> федеральный бюджет</t>
  </si>
  <si>
    <t>республиканский бюджет</t>
  </si>
  <si>
    <t>постоянное стационарное обслуживание</t>
  </si>
  <si>
    <t>временное стационарное обслуживание в реаб. учр-ях (отделениях)</t>
  </si>
  <si>
    <t>социальные услуги на дому (ОСП)</t>
  </si>
  <si>
    <t>полустационарное обслуживание</t>
  </si>
  <si>
    <t>в т.ч.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</si>
  <si>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</si>
  <si>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Психолого-медико-педагогическая реабилитация детей</t>
  </si>
  <si>
    <t>Подготовка граждан, выразивших желание принять детей-сирот и детей, оставшихся без попечения родителей, на семейные формы устройства</t>
  </si>
  <si>
    <t>Оказание консультативной, психологической, педагогической, юридической, социальной и иной помощи лицам, усыновившим (удочерившим) или принявшим под опеку (попечительство) ребенка</t>
  </si>
  <si>
    <t>Содействие устройству детей на воспитание в семью</t>
  </si>
  <si>
    <t>Содержание лиц из числа детей-сирот и детей, оставшихся без попечения родителей, завершивших пребывание в организации для детей-сирот, но не старше 23 лет</t>
  </si>
  <si>
    <t>Оказание консультативной, психологической, педагогической, юридической, социальной и иной помощи лицам из числа детей, завершивших пребывание в организации для детей-сирот</t>
  </si>
  <si>
    <t>Средний мед персонал</t>
  </si>
  <si>
    <t>Стимулирущие (от расчетных зарплат по ПФХД)</t>
  </si>
  <si>
    <t>ВСЕГО заработная плата на всех среднеспис работников на год</t>
  </si>
  <si>
    <t>Предоставление соцобслуж в форме на дому (заочно) НЕСОВЕРШЕННОЛЕТНИМ ТЕЛЕФОН ДОВЕРИЯ (РеспСРЦН)</t>
  </si>
  <si>
    <t>Стимулирующие выплаты</t>
  </si>
  <si>
    <t>ФОТ (т.р.)</t>
  </si>
  <si>
    <t>Среднемес з/пл</t>
  </si>
  <si>
    <t>без р.к. (руб)</t>
  </si>
  <si>
    <t>АУП и вспомогательный персонал</t>
  </si>
  <si>
    <t>к Приказу Министерства</t>
  </si>
  <si>
    <t>социальной защиты населения</t>
  </si>
  <si>
    <t>Республики Бурятия</t>
  </si>
  <si>
    <t>НОРМЫ</t>
  </si>
  <si>
    <t>ПИТАНИЯ ПОЛУЧАТЕЛЕЙ СОЦИАЛЬНЫХ УСЛУГ В СТАЦИОНАРНОЙ ФОРМЕ</t>
  </si>
  <si>
    <t>В ДОМАХ-ИНТЕРНАТАХ ДЛЯ ПРЕСТАРЕЛЫХ И ИНВАЛИДОВ, СПЕЦИАЛЬНЫХ</t>
  </si>
  <si>
    <t>ДОМАХ-ИНТЕРНАТАХ ДЛЯ ПРЕСТАРЕЛЫХ И ИНВАЛИДОВ, КОМПЛЕКСНЫХ</t>
  </si>
  <si>
    <t>ЦЕНТРАХ СОЦИАЛЬНОГО ОБСЛУЖИВАНИЯ ДЛЯ СОВЕРШЕННОЛЕТНИХ</t>
  </si>
  <si>
    <t>ГРАЖДАН, ПСИХОНЕВРОЛОГИЧЕСКИХ ИНТЕРНАТАХ, ОТДЕЛЕНИЯХ</t>
  </si>
  <si>
    <t>МИЛОСЕРДИЯ ОРГАНИЗАЦИЙ СОЦИАЛЬНОГО ОБСЛУЖИВАНИЯ, НАХОДЯЩИХСЯ</t>
  </si>
  <si>
    <t>В ВЕДЕНИИ РЕСПУБЛИКИ БУРЯТИЯ</t>
  </si>
  <si>
    <t>Наименования продуктов питания</t>
  </si>
  <si>
    <t>Нормы питания (количество продуктов в граммах на одного человека в сутки)</t>
  </si>
  <si>
    <t>Брутто</t>
  </si>
  <si>
    <t>Хлеб ржаной</t>
  </si>
  <si>
    <t>Хлеб пшеничный</t>
  </si>
  <si>
    <t>Мука пшеничная</t>
  </si>
  <si>
    <t>Крахмал картофельный</t>
  </si>
  <si>
    <t>Макаронные изделия</t>
  </si>
  <si>
    <t>Крупы (рисовая, гречневая, пшенная, манная, овсяная); горох, фасоль, чечевица</t>
  </si>
  <si>
    <t>Картофель</t>
  </si>
  <si>
    <t>Овощи свежие (всего), в том числе:</t>
  </si>
  <si>
    <t>Свекла</t>
  </si>
  <si>
    <t>Морковь</t>
  </si>
  <si>
    <t>Капуста белокочанная</t>
  </si>
  <si>
    <t>Лук репчатый</t>
  </si>
  <si>
    <t>Огурцы, помидоры (парниковые)</t>
  </si>
  <si>
    <t>Другие овощи (кабачки, баклажаны, перец сладкий, капуста цветная, капуста брокколи, тыква, фасоль зеленая стручковая)</t>
  </si>
  <si>
    <t>Овощи соленые и маринованные (капуста, огурцы)</t>
  </si>
  <si>
    <t>Зелень (лук зеленый, петрушка, укроп)</t>
  </si>
  <si>
    <t>Овощи консервированные (горошек зеленый, фасоль, кукуруза)</t>
  </si>
  <si>
    <t>Фрукты свежие</t>
  </si>
  <si>
    <t>Сухофрукты (курага, чернослив, изюм, компотная смесь)</t>
  </si>
  <si>
    <t>Соки фруктовые, овощные</t>
  </si>
  <si>
    <t>Говядина</t>
  </si>
  <si>
    <t>Птица</t>
  </si>
  <si>
    <t>Колбаса вареная, сосиски</t>
  </si>
  <si>
    <t>Рыба, рыбопродукты, нерыбные продукты моря</t>
  </si>
  <si>
    <t>Творог</t>
  </si>
  <si>
    <t>Сыр</t>
  </si>
  <si>
    <t>Кисломолочные напитки (кефир, йогурт, ряженка, простокваша, ацидофилин)</t>
  </si>
  <si>
    <t>Молоко</t>
  </si>
  <si>
    <t>Масло сливочное</t>
  </si>
  <si>
    <t>Масло растительное</t>
  </si>
  <si>
    <t>Сметана</t>
  </si>
  <si>
    <t>Сахар, варенье, печенье, кондитерские изделия</t>
  </si>
  <si>
    <t>Чай</t>
  </si>
  <si>
    <t>Кофе, какао</t>
  </si>
  <si>
    <t>Желатин</t>
  </si>
  <si>
    <t>Дрожжи прессованные</t>
  </si>
  <si>
    <t>Соль</t>
  </si>
  <si>
    <t>Томат-паста, томат-пюре</t>
  </si>
  <si>
    <t>Шиповник</t>
  </si>
  <si>
    <t>Смесь белковая композитная сухая</t>
  </si>
  <si>
    <t>Не более 27</t>
  </si>
  <si>
    <t>Витаминно-минеральные комплексы (% от физиологической нормы)</t>
  </si>
  <si>
    <t>цена</t>
  </si>
  <si>
    <t>цена за кг, десяток (яиц) рублей</t>
  </si>
  <si>
    <t>стоимость (рублей)</t>
  </si>
  <si>
    <t>Яйцо (штук)</t>
  </si>
  <si>
    <t>Стоимость питания на 1 койко-день (рублей)</t>
  </si>
  <si>
    <t>Плановое число койко-дней на год</t>
  </si>
  <si>
    <t>Всего расход на приобретение продуктов питания (тыс руб.)</t>
  </si>
  <si>
    <t>Приложение</t>
  </si>
  <si>
    <t>от 18.08.2017 N 573</t>
  </si>
  <si>
    <t>НОРМАТИВЫ</t>
  </si>
  <si>
    <t>ОБЕСПЕЧЕНИЯ МЯГКИМ ИНВЕНТАРЕМ ПРИ ПРЕДОСТАВЛЕНИИ СОЦИАЛЬНЫХ</t>
  </si>
  <si>
    <t>УСЛУГ В СТАЦИОНАРНОЙ И ПОЛУСТАЦИОНАРНОЙ ФОРМЕ В ДОМАХ-</t>
  </si>
  <si>
    <t>ИНТЕРНАТАХ ДЛЯ ПРЕСТАРЕЛЫХ И ИНВАЛИДОВ, СПЕЦИАЛЬНЫХ ДОМАХ-</t>
  </si>
  <si>
    <t>ИНТЕРНАТАХ ДЛЯ ПРЕСТАРЕЛЫХ И ИНВАЛИДОВ, КОМПЛЕКСНЫХ ЦЕНТРАХ</t>
  </si>
  <si>
    <t>СОЦИАЛЬНОГО ОБСЛУЖИВАНИЯ, ПСИХОНЕВРОЛОГИЧЕСКИХ ИНТЕРНАТАХ,</t>
  </si>
  <si>
    <t>ОТДЕЛЕНИЯХ МИЛОСЕРДИЯ ОРГАНИЗАЦИЙ СОЦИАЛЬНОГО ОБСЛУЖИВАНИЯ,</t>
  </si>
  <si>
    <t>НАХОДЯЩИХСЯ В ВЕДЕНИИ РЕСПУБЛИКИ БУРЯТИЯ</t>
  </si>
  <si>
    <t>Наименование мягкого инвентаря</t>
  </si>
  <si>
    <t>Единица измерения</t>
  </si>
  <si>
    <t>На одного получателя социальных услуг</t>
  </si>
  <si>
    <t>количество</t>
  </si>
  <si>
    <t>Простыня</t>
  </si>
  <si>
    <t>штук</t>
  </si>
  <si>
    <t>Пододеяльник</t>
  </si>
  <si>
    <t>Наволочка для подушки</t>
  </si>
  <si>
    <t>Полотенце</t>
  </si>
  <si>
    <t>Одеяло</t>
  </si>
  <si>
    <t>Матрац</t>
  </si>
  <si>
    <t>Покрывало</t>
  </si>
  <si>
    <t>Подушка</t>
  </si>
  <si>
    <t>Халат или платье женское</t>
  </si>
  <si>
    <t>Футболка или рубашка мужская</t>
  </si>
  <si>
    <t>Трико или брюки мужские</t>
  </si>
  <si>
    <t>Обувь домашняя</t>
  </si>
  <si>
    <t>Наличие</t>
  </si>
  <si>
    <t>Всего объем на плановое число мест</t>
  </si>
  <si>
    <t>Требуется прибрести в плановом году</t>
  </si>
  <si>
    <t>количество абонентских номеров</t>
  </si>
  <si>
    <t>Тариф в месяц (с учетом НДС), руб.</t>
  </si>
  <si>
    <t>услуги связи</t>
  </si>
  <si>
    <t>коммунальные услуги</t>
  </si>
  <si>
    <t>аренда за использование имущества</t>
  </si>
  <si>
    <t>Страхование</t>
  </si>
  <si>
    <t>Прочие работы, услуги</t>
  </si>
  <si>
    <t>Работы и услуги по содержанию имущества</t>
  </si>
  <si>
    <t>приобретение основных средств</t>
  </si>
  <si>
    <t>приобретение лекарственные препараты и материалы, применяемые в медицинских целях</t>
  </si>
  <si>
    <t>приобретение продуктов питания</t>
  </si>
  <si>
    <t>цена за кг, десяток яиц</t>
  </si>
  <si>
    <t>годовая норма питания (кг, десяток яиц)</t>
  </si>
  <si>
    <t>приобретение горюче-смазочные материалы</t>
  </si>
  <si>
    <t>наименование транспортного средства</t>
  </si>
  <si>
    <t>годовая норма расхода, л</t>
  </si>
  <si>
    <t>цена за единицу товара</t>
  </si>
  <si>
    <t>наименование ГСМ</t>
  </si>
  <si>
    <t>приобретение строительных материалов</t>
  </si>
  <si>
    <t>приобретение мягкого инвентаря</t>
  </si>
  <si>
    <t>Норма на одного получателя социальных услуг</t>
  </si>
  <si>
    <t>Наличие на балансе учреждения по состоянию на дату составления расчета</t>
  </si>
  <si>
    <t>приобретение прочих материальных запасов</t>
  </si>
  <si>
    <t>Увеличение стоимости прочих МЗ однократного применения</t>
  </si>
  <si>
    <t>в т.ч. за счет</t>
  </si>
  <si>
    <t>субсидии на госзадание</t>
  </si>
  <si>
    <t>субсидии на ренту (Доверие)</t>
  </si>
  <si>
    <t>собств доходы</t>
  </si>
  <si>
    <t>Плановый ФОТ (тыс. руб.)</t>
  </si>
  <si>
    <t>из них (по видам госуслуг, СДУ, платные), единиц</t>
  </si>
  <si>
    <t>из них (по видам госуслуг, СДУ, платные), тыс. руб.</t>
  </si>
  <si>
    <t>ОМС</t>
  </si>
  <si>
    <t>Приложение 2  к Порядку составления и утверждения
планов финансово-хозяйственной
деятельности государственных
бюджетных и автономных учреждений,
подведомственных Министерству 
социальной защиты населения 
Республики Бурятия</t>
  </si>
  <si>
    <t>Таблица 2</t>
  </si>
  <si>
    <t xml:space="preserve">
Приложение 2 к Порядку составления и утверждения
планов финансово-хозяйственной
деятельности государственных
бюджетных и автономных учреждений,
подведомственных Министерству 
социальной защиты населения 
Республики Бурятия
</t>
  </si>
  <si>
    <t>средства ОМС</t>
  </si>
  <si>
    <t>Таблица 3</t>
  </si>
  <si>
    <t>Таблица 10</t>
  </si>
  <si>
    <t>наименование учреждения</t>
  </si>
  <si>
    <t>Таблица 12</t>
  </si>
  <si>
    <t>Оплата труда, начисления на выплаты по оплате труда</t>
  </si>
  <si>
    <t>Заработная плата</t>
  </si>
  <si>
    <t>211</t>
  </si>
  <si>
    <t>в т.ч. по отдельным категориям работников</t>
  </si>
  <si>
    <t>Заместители руководителей, главные бухгалтера</t>
  </si>
  <si>
    <t>Социальные работники</t>
  </si>
  <si>
    <t>Работники ОСП, кроме социальных работников</t>
  </si>
  <si>
    <t>211.061</t>
  </si>
  <si>
    <t>Специалисты со средним специальным и высшим образованием (ОСНОВНОЙ ПЕРСОНАЛ)</t>
  </si>
  <si>
    <t>Специалисты со средним специальным и высшим образованием (АУП)</t>
  </si>
  <si>
    <t>Няни, сиделки, помощники воспитателей, младшие воспитатели</t>
  </si>
  <si>
    <t>Прочий персонал (ВСПОМОГАТЕЛЬНЫЙ ПЕРСОНАЛ)</t>
  </si>
  <si>
    <t>СДУ итого</t>
  </si>
  <si>
    <t>Платные итого</t>
  </si>
  <si>
    <t>211.18</t>
  </si>
  <si>
    <t>рента итого</t>
  </si>
  <si>
    <t>211.19</t>
  </si>
  <si>
    <t>на централизацию бухгалтерий АУСО</t>
  </si>
  <si>
    <t>211.20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</si>
  <si>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</si>
  <si>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</si>
  <si>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</si>
  <si>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</si>
  <si>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</si>
  <si>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</si>
  <si>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Услуги связи</t>
  </si>
  <si>
    <t>221</t>
  </si>
  <si>
    <t>Транспортные услуги</t>
  </si>
  <si>
    <t>222</t>
  </si>
  <si>
    <t>вывоз угля</t>
  </si>
  <si>
    <t>222.1</t>
  </si>
  <si>
    <t>Коммунальные услуги</t>
  </si>
  <si>
    <t>223</t>
  </si>
  <si>
    <t>- оплата по тарифам за коммунальные услуги:</t>
  </si>
  <si>
    <t>223.1</t>
  </si>
  <si>
    <t>отопление</t>
  </si>
  <si>
    <t>223.11</t>
  </si>
  <si>
    <t>горячее водоснабжение</t>
  </si>
  <si>
    <t>223.12</t>
  </si>
  <si>
    <t>холодное водоснабжение</t>
  </si>
  <si>
    <t>223.13</t>
  </si>
  <si>
    <t>электроэнергия</t>
  </si>
  <si>
    <t>223.14</t>
  </si>
  <si>
    <t>вывоз ТБО</t>
  </si>
  <si>
    <t>223.15</t>
  </si>
  <si>
    <t>- оплата услуг канализации, ассенизации;</t>
  </si>
  <si>
    <t>223.2</t>
  </si>
  <si>
    <t>- расходы по оплате договоров на вывоз жидких бытовых отходов при отсутствии централизованной системы канализации;</t>
  </si>
  <si>
    <t>223.3</t>
  </si>
  <si>
    <t>- расходы арендатора по возмещению арендодателю стоимости коммунальных услуг;</t>
  </si>
  <si>
    <t>223.4</t>
  </si>
  <si>
    <t>другие аналогичные расходы.</t>
  </si>
  <si>
    <t>223.5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</si>
  <si>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</si>
  <si>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</si>
  <si>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</si>
  <si>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</si>
  <si>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r>
      <t xml:space="preserve">приобретение основных средств </t>
    </r>
    <r>
      <rPr>
        <i/>
        <u/>
        <sz val="8"/>
        <rFont val="Times New Roman"/>
        <family val="1"/>
        <charset val="204"/>
      </rPr>
      <t>на регулярной основе</t>
    </r>
    <r>
      <rPr>
        <i/>
        <sz val="8"/>
        <rFont val="Times New Roman"/>
        <family val="1"/>
        <charset val="204"/>
      </rPr>
      <t>, используемых в процессе выполнения направления деятельности</t>
    </r>
  </si>
  <si>
    <t>310.2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</si>
  <si>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</si>
  <si>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</si>
  <si>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продуктов питания</t>
  </si>
  <si>
    <t>342</t>
  </si>
  <si>
    <t>приобретение продуктов питания для получателей услуг</t>
  </si>
  <si>
    <t>342.1</t>
  </si>
  <si>
    <t xml:space="preserve">Обеспечение продуктами питания детей (продовольственные пайки) при временной передаче их в семьи граждан
</t>
  </si>
  <si>
    <t>342.2</t>
  </si>
  <si>
    <t>приобретение спецпитания для работников</t>
  </si>
  <si>
    <t>342.3</t>
  </si>
  <si>
    <t>Увеличение стоимости горюче-смазочных материалов</t>
  </si>
  <si>
    <t>ГСМ для автотранспорта</t>
  </si>
  <si>
    <t>343.1</t>
  </si>
  <si>
    <t>приобретение угля</t>
  </si>
  <si>
    <t>343.2</t>
  </si>
  <si>
    <t>приобретение дров</t>
  </si>
  <si>
    <t>343.3</t>
  </si>
  <si>
    <t>приобретение газа</t>
  </si>
  <si>
    <t>343.4</t>
  </si>
  <si>
    <t>Увеличение стоимости мягкого инвентаря</t>
  </si>
  <si>
    <t>приобретение постельных принадлежностей</t>
  </si>
  <si>
    <t>345.1</t>
  </si>
  <si>
    <t>приобретение одежды и обуви для получателей услуг</t>
  </si>
  <si>
    <t>345.2</t>
  </si>
  <si>
    <t>приобретение спецодежды для работников</t>
  </si>
  <si>
    <t>345.3</t>
  </si>
  <si>
    <t>Увеличение стоимости прочих оборотных запасов (материалов)</t>
  </si>
  <si>
    <t>Увеличение стоимости прочих материальных запасов однократного применения</t>
  </si>
  <si>
    <t>349</t>
  </si>
  <si>
    <t>(в рублях)</t>
  </si>
  <si>
    <t>Расчетная среднемесячная зарплата (руб.), по Указникам - за минусом льгот на селе</t>
  </si>
  <si>
    <t>Наименование АУСО</t>
  </si>
  <si>
    <t>Наименование учреждений СиД</t>
  </si>
  <si>
    <t>омс стац</t>
  </si>
  <si>
    <t>омс поликл</t>
  </si>
  <si>
    <t>среднеспис числ-ть работников (по ЗП-соц на последнюю отчетную дату )</t>
  </si>
  <si>
    <t>по последнему шт расписанию на дату заполнения (в т.ч. и не вступившие в силу)</t>
  </si>
  <si>
    <t xml:space="preserve">Начальник УСЗН </t>
  </si>
  <si>
    <t>Заместитель начальника УСЗН</t>
  </si>
  <si>
    <t>Начальник ОСЗН</t>
  </si>
  <si>
    <t>Заместитель начальника ОСЗН</t>
  </si>
  <si>
    <t>Начальник отдела РГУ</t>
  </si>
  <si>
    <t>Заместитель начальника ОФЭО</t>
  </si>
  <si>
    <t>Заместитель начальника отдела РГУ</t>
  </si>
  <si>
    <t>Начальник отдела УСЗН</t>
  </si>
  <si>
    <t>Заместитель начальника отдела УСЗН</t>
  </si>
  <si>
    <t>Начальник группы</t>
  </si>
  <si>
    <t>Главный специалист РГУ</t>
  </si>
  <si>
    <t>Главный специалист</t>
  </si>
  <si>
    <t xml:space="preserve">Ведущий специалист РГУ </t>
  </si>
  <si>
    <t>Ведущий специалист</t>
  </si>
  <si>
    <t>Специалист</t>
  </si>
  <si>
    <t>211.1210</t>
  </si>
  <si>
    <t>211.1201</t>
  </si>
  <si>
    <t>211.1202</t>
  </si>
  <si>
    <t>211.1203</t>
  </si>
  <si>
    <t>211.1204</t>
  </si>
  <si>
    <t>211.1205</t>
  </si>
  <si>
    <t>211.1206</t>
  </si>
  <si>
    <t>211.1207</t>
  </si>
  <si>
    <t>211.1208</t>
  </si>
  <si>
    <t>211.1209</t>
  </si>
  <si>
    <t>211.1211</t>
  </si>
  <si>
    <t>211.1212</t>
  </si>
  <si>
    <t>211.1213</t>
  </si>
  <si>
    <t>211.1214</t>
  </si>
  <si>
    <t>211.1215</t>
  </si>
  <si>
    <t>сиделка</t>
  </si>
  <si>
    <t>психолог</t>
  </si>
  <si>
    <t>специалист по социальной работе</t>
  </si>
  <si>
    <t>211.171</t>
  </si>
  <si>
    <t>211.172</t>
  </si>
  <si>
    <t>211.173</t>
  </si>
  <si>
    <t>Предоставление соцобсл в стац форме гражданам при отсутствии возможности обеспечения ухода (в том числе временного) за инвалидом, ребенком, детьми, а также отсутствие попечения над ними (СВЕТЛЫЙ)</t>
  </si>
  <si>
    <t>Предоставление соцобсл в полустац форме гражданам при отсутствии определенного места жительства (ШАНС)</t>
  </si>
  <si>
    <t>Предоставление соцобсл в полустац форме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t>
  </si>
  <si>
    <t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t>
  </si>
  <si>
    <t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(Приб, СБ)</t>
  </si>
  <si>
    <t>Предоставление соцобсл в полустац форме гражданам при наличии ребенка или детей (в том числе находящихся под опекой, попечительством), испытывающих трудности в социальной адаптации (СБ СРЦН)</t>
  </si>
  <si>
    <t>2.1. На предупр. и  ликвид. ЧС, последствий стих. бедств, на финансирование непредв. расходов</t>
  </si>
  <si>
    <t>2.2. На проведение соц-знач мер-й</t>
  </si>
  <si>
    <t>2.3. На увеличение ст-ти ОС</t>
  </si>
  <si>
    <t>2.4. На проведение непредв мер-тий по устр. нарушений законодательства, устанавливающего требования к противопож, сан-эпид сост-ю учр-ний</t>
  </si>
  <si>
    <t>2.5. Перевозка в РБ н/с, самовольно ушедших</t>
  </si>
  <si>
    <t>2.6. Перевозка в РФ н/с, самовольно ушедших</t>
  </si>
  <si>
    <t>2.7. Доступная среда (респ бюджет)</t>
  </si>
  <si>
    <t>2.7. Доступная среда (федер бюджет)</t>
  </si>
  <si>
    <t>2.8. Спец-ты на селе</t>
  </si>
  <si>
    <t>2.9. Ликвидация и реорганизация Учреждения.</t>
  </si>
  <si>
    <t>2.10. На капитальный ремонт объектов недвижимого имущества.</t>
  </si>
  <si>
    <t>2.11. На инж изыск, подготовку ПСД на ремонт, а также госэкспертиз ПСД и инж изыск</t>
  </si>
  <si>
    <t xml:space="preserve">2.11. На демонтаж строений, сооружений; на пож резервуары, лестницы; </t>
  </si>
  <si>
    <t>2.11. На монтаж, пусконаладочные работы инж систем, оборудов; на устр-во инж систем, оборудов</t>
  </si>
  <si>
    <t>2.11. На благоустройство зем участков</t>
  </si>
  <si>
    <t>2.11. На приобр особо ценного движимого имущества.</t>
  </si>
  <si>
    <t xml:space="preserve">2.12. На мат обесп выпускников </t>
  </si>
  <si>
    <t>2.13. Информ общество</t>
  </si>
  <si>
    <t>2.14. На охрану спецжилфонда, обследование соответствия спецжилфонда для детей-сирот требованиям РФ, на проведение ремонта, оплату комуслуг, содержание жилых помещений спецжилфонда</t>
  </si>
  <si>
    <t>2.15. На ремонт спецжилфонда при истечения гарант срока или банкротства исполнителей по госконтрактам, экспертной оценки качества ремонтных работ спецжилфонда.</t>
  </si>
  <si>
    <t>2.16. На ремонт, оплату комуслуг жилья для их перевода в спецжилфонд</t>
  </si>
  <si>
    <t>2.17. Рента по договорам пожизненного содержания с иждивением</t>
  </si>
  <si>
    <t>2.18. Реабилитация и абилитация</t>
  </si>
  <si>
    <t>2.19. СДУ</t>
  </si>
  <si>
    <t>2.20. На вовлечение населения в нац проекты.</t>
  </si>
  <si>
    <r>
      <t>2.21. На мер-я по ковиду</t>
    </r>
    <r>
      <rPr>
        <sz val="12"/>
        <color rgb="FFFF0000"/>
        <rFont val="Times New Roman"/>
        <family val="1"/>
        <charset val="204"/>
      </rPr>
      <t xml:space="preserve"> ГОСПИТАЛЬ</t>
    </r>
  </si>
  <si>
    <r>
      <t>2.21. На мер-я по ковиду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</t>
    </r>
    <r>
      <rPr>
        <sz val="12"/>
        <rFont val="Times New Roman"/>
        <family val="1"/>
        <charset val="204"/>
      </rPr>
      <t xml:space="preserve">НА </t>
    </r>
    <r>
      <rPr>
        <sz val="12"/>
        <color rgb="FFFF0000"/>
        <rFont val="Times New Roman"/>
        <family val="1"/>
        <charset val="204"/>
      </rPr>
      <t>СТИМ ВЫПЛАТЫ</t>
    </r>
    <r>
      <rPr>
        <sz val="12"/>
        <rFont val="Times New Roman"/>
        <family val="1"/>
        <charset val="204"/>
      </rPr>
      <t xml:space="preserve">                                             НА 2020 год,                            КОСГУ 211, 213</t>
    </r>
  </si>
  <si>
    <r>
      <t>2.21. На мер-я по ковиду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</t>
    </r>
    <r>
      <rPr>
        <sz val="12"/>
        <rFont val="Times New Roman"/>
        <family val="1"/>
        <charset val="204"/>
      </rPr>
      <t xml:space="preserve">НА </t>
    </r>
    <r>
      <rPr>
        <sz val="12"/>
        <color rgb="FFFF0000"/>
        <rFont val="Times New Roman"/>
        <family val="1"/>
        <charset val="204"/>
      </rPr>
      <t>ОТПУСКА</t>
    </r>
    <r>
      <rPr>
        <sz val="12"/>
        <rFont val="Times New Roman"/>
        <family val="1"/>
        <charset val="204"/>
      </rPr>
      <t xml:space="preserve">                                             НА 2020 год,                            КОСГУ 211, 214</t>
    </r>
  </si>
  <si>
    <r>
      <t xml:space="preserve">2.26. </t>
    </r>
    <r>
      <rPr>
        <sz val="12"/>
        <color indexed="10"/>
        <rFont val="Times New Roman"/>
        <family val="1"/>
        <charset val="204"/>
      </rPr>
      <t>МСП</t>
    </r>
    <r>
      <rPr>
        <sz val="12"/>
        <rFont val="Times New Roman"/>
        <family val="1"/>
        <charset val="204"/>
      </rPr>
      <t xml:space="preserve"> работникам учреждений соцобсл, находящимся в режиме </t>
    </r>
    <r>
      <rPr>
        <sz val="12"/>
        <color indexed="10"/>
        <rFont val="Times New Roman"/>
        <family val="1"/>
        <charset val="204"/>
      </rPr>
      <t>«тотальная изоляция»</t>
    </r>
  </si>
  <si>
    <r>
      <t xml:space="preserve">2.22. На обеспечение </t>
    </r>
    <r>
      <rPr>
        <sz val="12"/>
        <color rgb="FFFF0000"/>
        <rFont val="Times New Roman"/>
        <family val="1"/>
        <charset val="204"/>
      </rPr>
      <t>питание</t>
    </r>
    <r>
      <rPr>
        <sz val="12"/>
        <rFont val="Times New Roman"/>
        <family val="1"/>
        <charset val="204"/>
      </rPr>
      <t>м работников, работающих в режиме "тотальная изоляция"</t>
    </r>
  </si>
  <si>
    <t>2.23. На проведение обследования жилого помещения спецжилфонда и выдачу заключений о сантехсостоянии помещения</t>
  </si>
  <si>
    <t>2.24. На осуществление переданных полномочий РФ.</t>
  </si>
  <si>
    <t>2.25. На мер-я по соцреаб, ресоц-ции и соцадаптации лиц, отбывших уголовное наказание.</t>
  </si>
  <si>
    <t>2.26. Профпереподготовка специалистов учреждений.</t>
  </si>
  <si>
    <t>субсидии на иные цели (нумерация по постановлению Правительства РБ от 31.07.2012 N 458, ред от 12.01.2022)</t>
  </si>
  <si>
    <t>Затраты, непосредственно связанные с оказанием государственной услуги</t>
  </si>
  <si>
    <t>затраты на общехоз. нужды на оказание госуслуги:</t>
  </si>
  <si>
    <t>Затраты на оказание государственных услуг</t>
  </si>
  <si>
    <t>Предоставление соцобсл в форме на дому гражданам частично утратившим способность к самообслуживанию (ПЛАТНО и БЕСПЛАТНО)</t>
  </si>
  <si>
    <t>субсидии на СДУ в рамках госзадания</t>
  </si>
  <si>
    <t>оплата клиентов за предоставление гарант государством соцуслуг</t>
  </si>
  <si>
    <t>а) затраты на комуслуги: косгу 222.1; 223; 343.2 - 343.4; 211.13; 213 (в части начислений на 211.13)</t>
  </si>
  <si>
    <t>уплата налогов: косгу 291</t>
  </si>
  <si>
    <t>ГБУ РБ "Республиканский ресурсный центр "Семья" или АУ РБ "Республиканский клинический госпиталь для ветеранов войн" или ГУ "Центр бюджетного учета и аналитического сопровождения Министерства социальной защиты населения Республики Бурятия РБ"</t>
  </si>
  <si>
    <t>Себестоимость госуслуги</t>
  </si>
  <si>
    <t xml:space="preserve">Объем услуги по п.3.2 из части I и II госзадания </t>
  </si>
  <si>
    <t xml:space="preserve">чел., семей, зак. случаев </t>
  </si>
  <si>
    <t xml:space="preserve">Объем услуги по доп показателю по п.5 из части III госзадания </t>
  </si>
  <si>
    <t>к/дни, посещ, УЕТ и т.п.</t>
  </si>
  <si>
    <t>на получателя</t>
  </si>
  <si>
    <t>на доп показатель</t>
  </si>
  <si>
    <t>Себестоимость госуслуги для домов-интернатов с учетом оплаты клиентов</t>
  </si>
  <si>
    <t>Доходы, всего:</t>
  </si>
  <si>
    <t>Работники, обслуживающие собственные коммунальные сети: кочегары,  водитель ассенизационной машины / тракторист по вывозке нечистот, рабочие очистных сооружений, операторы теплового узла и т.п.</t>
  </si>
  <si>
    <t>Среднеспис числ ВСЕГО (ед.)</t>
  </si>
  <si>
    <t>Штатн числ ВСЕГО (ед.)</t>
  </si>
  <si>
    <t>Коды должностей (из ячеек Q6:Q26; Q172:Q186; Q189:Q191)</t>
  </si>
  <si>
    <t>заработная плата не ниже МРОТ 14700,25 руб</t>
  </si>
  <si>
    <t>полностью утратившим способность к самообслуживанию</t>
  </si>
  <si>
    <t xml:space="preserve"> частично утратившим способность к самообслуживанию</t>
  </si>
  <si>
    <t>Предоставление социального обслуживания в полустационарной форме (ОДП Доверие)</t>
  </si>
  <si>
    <t xml:space="preserve">Предоставление соцобсл в стац форме </t>
  </si>
  <si>
    <t>страховые взносы на обязательное страхование от несчастных случаев на производстве и профзаболеваний</t>
  </si>
  <si>
    <t>0001</t>
  </si>
  <si>
    <t>0002</t>
  </si>
  <si>
    <t>1000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</si>
  <si>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</si>
  <si>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</si>
  <si>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1220</t>
  </si>
  <si>
    <t>Поступления от оказания услуг (выполнения работ ) на платной основе</t>
  </si>
  <si>
    <t>1230</t>
  </si>
  <si>
    <t>1410</t>
  </si>
  <si>
    <t>целевые субсидии</t>
  </si>
  <si>
    <t>субсидии на осуществление капитальных вложений</t>
  </si>
  <si>
    <t>1420</t>
  </si>
  <si>
    <t>прочие безвозмездные поступления</t>
  </si>
  <si>
    <t>1430</t>
  </si>
  <si>
    <t>Расходы, всего</t>
  </si>
  <si>
    <t>2000</t>
  </si>
  <si>
    <t>2100</t>
  </si>
  <si>
    <t>социальные и иные выплаты населению, всего</t>
  </si>
  <si>
    <t>2200</t>
  </si>
  <si>
    <t>уплата налогов, сборов и иных платежей, всего</t>
  </si>
  <si>
    <t>2300</t>
  </si>
  <si>
    <t>из них:
налог на имущество организаций и земельный налог</t>
  </si>
  <si>
    <t>2310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</si>
  <si>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</si>
  <si>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</si>
  <si>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уплата штрафов (в том числе административных), пеней, иных платежей</t>
  </si>
  <si>
    <t>2330</t>
  </si>
  <si>
    <t>безвозмездные перечисления организациям и физическим лицам, всего</t>
  </si>
  <si>
    <t>2400</t>
  </si>
  <si>
    <t>прочие выплаты (кроме выплат на закупку товаров, работ, услуг)</t>
  </si>
  <si>
    <t>2500</t>
  </si>
  <si>
    <t>2600</t>
  </si>
  <si>
    <t>капитальные вложения в объекты государственной (муниципальной) собственности, всего</t>
  </si>
  <si>
    <t>4000</t>
  </si>
  <si>
    <t>на выплаты персоналу, всего</t>
  </si>
  <si>
    <r>
      <rPr>
        <b/>
        <i/>
        <u/>
        <sz val="12"/>
        <color rgb="FFFF0000"/>
        <rFont val="Times New Roman"/>
        <family val="1"/>
        <charset val="204"/>
      </rPr>
      <t>код строки в разделе 1 ПФХД</t>
    </r>
    <r>
      <rPr>
        <sz val="12"/>
        <rFont val="Times New Roman"/>
        <family val="1"/>
        <charset val="204"/>
      </rPr>
      <t xml:space="preserve"> / КОСГУ</t>
    </r>
  </si>
  <si>
    <t>Иные расходы по выплате персоналу</t>
  </si>
  <si>
    <t>расходы на закупку товаров, работ, услуг, всего</t>
  </si>
  <si>
    <t>Иные расходы на закупку товаров, работ, услуг</t>
  </si>
  <si>
    <t>Выплаты, уменьшающие доход, всего</t>
  </si>
  <si>
    <t>Прочие выплаты, всего</t>
  </si>
  <si>
    <t>субсидия1</t>
  </si>
  <si>
    <t>субсидия2</t>
  </si>
  <si>
    <t>субсидия3</t>
  </si>
  <si>
    <t>субсидия4</t>
  </si>
  <si>
    <t>субсидия5</t>
  </si>
  <si>
    <t>субсидия6</t>
  </si>
  <si>
    <t>субсидия7</t>
  </si>
  <si>
    <t>субсидия8</t>
  </si>
  <si>
    <t>субсидия9</t>
  </si>
  <si>
    <t>субсидия10</t>
  </si>
  <si>
    <t>услуги ЖКУ</t>
  </si>
  <si>
    <t>общехоз нужды</t>
  </si>
  <si>
    <t>налоги</t>
  </si>
  <si>
    <t>субсидии на финансовое обеспечение выполнения государственного задания за счет средств ФОМС</t>
  </si>
  <si>
    <t>Остаток средств на начало текущего финансового года</t>
  </si>
  <si>
    <t>Остаток средств на конец текущего финансового года</t>
  </si>
  <si>
    <t>услуга / работа 1</t>
  </si>
  <si>
    <t>услуга / работа 2</t>
  </si>
  <si>
    <t>услуга / работа 3</t>
  </si>
  <si>
    <t>услуга / работа 4</t>
  </si>
  <si>
    <t>услуга / работа 5</t>
  </si>
  <si>
    <t>услуга / работа 6</t>
  </si>
  <si>
    <t>услуга / работа 7</t>
  </si>
  <si>
    <t>услуга / работа 8</t>
  </si>
  <si>
    <t>услуга / работа 9</t>
  </si>
  <si>
    <t>услуга / работа 10</t>
  </si>
  <si>
    <t>прочие транспортные услуги</t>
  </si>
  <si>
    <t>222.2</t>
  </si>
  <si>
    <t>б) затраты на содержание объектов недвижимого имущества (в том числе затраты на арендные платежи) - 224, из 225;
в) затраты на содержание объектов особо ценного движимого имущества - из 225;
г) затраты на приобретение услуг связи - 221;
д) затраты на приобретение транспортных услуг - 222.2;
е) затраты на оплату труда с начислениями на выплаты по оплате труда АУП и вспомогательного персонала - 211.01, 211.02, 211.11, 211.16 и 213 в части начислений на эти расходы ;
ж) затраты на прочие общехозяйственные нужды - 346; 349</t>
  </si>
  <si>
    <t>Cтационарное обслуживание</t>
  </si>
  <si>
    <r>
      <t xml:space="preserve">из них (по видам госуслуг, СДУ, платные), единиц - </t>
    </r>
    <r>
      <rPr>
        <b/>
        <i/>
        <u/>
        <sz val="11"/>
        <color rgb="FFFF0000"/>
        <rFont val="Times New Roman"/>
        <family val="1"/>
        <charset val="204"/>
      </rPr>
      <t>наименования услуг скопируйте из листа "ПЛАН", АУСО - из 13 строки, СиД - из 17 строки. Последовательность перечисления услуг менять нельзя</t>
    </r>
  </si>
  <si>
    <t>Административно - управленческий персонал</t>
  </si>
  <si>
    <t>Руководство</t>
  </si>
  <si>
    <t>Директор</t>
  </si>
  <si>
    <t>заместитель директор</t>
  </si>
  <si>
    <t>Административное обслуживание</t>
  </si>
  <si>
    <t>Специалист по охране труда</t>
  </si>
  <si>
    <t>Делопроизводитель</t>
  </si>
  <si>
    <t>Бухгалтерское, кадровое и юридическое сопровождение</t>
  </si>
  <si>
    <t>экономист</t>
  </si>
  <si>
    <t>Специалист в сфере закупок</t>
  </si>
  <si>
    <t>Юрисконсульт</t>
  </si>
  <si>
    <t>Специалист по управлению персоналом</t>
  </si>
  <si>
    <t>Основанной персонал</t>
  </si>
  <si>
    <t>Социально - бытовые услуги</t>
  </si>
  <si>
    <t>Заведующий отделением</t>
  </si>
  <si>
    <t>Врач психиатр</t>
  </si>
  <si>
    <t>Средний медицинский персонал</t>
  </si>
  <si>
    <t>Старшая медицинская сестра</t>
  </si>
  <si>
    <t>Фельдшер</t>
  </si>
  <si>
    <t>Младший фармацевт</t>
  </si>
  <si>
    <t>Инструктор по трудовой терапии</t>
  </si>
  <si>
    <t>Медицинская сестра</t>
  </si>
  <si>
    <t>Дополнительное обслуживание получателей услуг</t>
  </si>
  <si>
    <t>Заведующий прачечной</t>
  </si>
  <si>
    <t>Оператор стиральных машин</t>
  </si>
  <si>
    <t>Дезинфектор</t>
  </si>
  <si>
    <t>Кастелянша</t>
  </si>
  <si>
    <t>Рабочий по обслуживанию в бане</t>
  </si>
  <si>
    <t>Сиделка (помощник по уходу)</t>
  </si>
  <si>
    <t>Организация питания</t>
  </si>
  <si>
    <t>Заведующий производством</t>
  </si>
  <si>
    <t>Повар</t>
  </si>
  <si>
    <t>повар</t>
  </si>
  <si>
    <t>Буфетчик</t>
  </si>
  <si>
    <t>Мойщик посуды</t>
  </si>
  <si>
    <t>Социальная реабилитация и культурно - массовое обслуживание</t>
  </si>
  <si>
    <t>главный специалист отдела</t>
  </si>
  <si>
    <t>Специалист по социальной работе</t>
  </si>
  <si>
    <t>Психолог в социальной сфере</t>
  </si>
  <si>
    <t>Культорганизатор</t>
  </si>
  <si>
    <t>система долговременного ухода</t>
  </si>
  <si>
    <t>Материальное обеспечение</t>
  </si>
  <si>
    <t>Специалист по административно-хозяйственному обеспечению</t>
  </si>
  <si>
    <t>Кладовщик</t>
  </si>
  <si>
    <t>Хозяйственное обслуживание зданий и территорий</t>
  </si>
  <si>
    <t>Начальник административно-хозяйственного подразделения</t>
  </si>
  <si>
    <t>Электромонтер по ремонту и обслуживанию электрооборудования</t>
  </si>
  <si>
    <t>Слесарь - сантехник</t>
  </si>
  <si>
    <t>Машинист (кочегар) котельной</t>
  </si>
  <si>
    <t>Рабочий по комплексному обслуживанию и ремонту зданий</t>
  </si>
  <si>
    <t>Рабочий по благоустройству населенных пунктов</t>
  </si>
  <si>
    <t>Уборщик производственных и служебных помещений</t>
  </si>
  <si>
    <t>Вспомогательный персонал</t>
  </si>
  <si>
    <t>Водитель автомобиля</t>
  </si>
  <si>
    <t>Подсобный рабочий</t>
  </si>
  <si>
    <t>парикмахер</t>
  </si>
  <si>
    <t>пекарь</t>
  </si>
  <si>
    <t>квтч</t>
  </si>
  <si>
    <t>стоимость с ндс 20%</t>
  </si>
  <si>
    <t>квт котельная</t>
  </si>
  <si>
    <t>всего квтч</t>
  </si>
  <si>
    <t>всего стоимость с ндс 20%</t>
  </si>
  <si>
    <t>всего</t>
  </si>
  <si>
    <t>Данные по канализации</t>
  </si>
  <si>
    <t>ЦЕНА 1 М3</t>
  </si>
  <si>
    <t>показания водосчетчика на конец месяца</t>
  </si>
  <si>
    <t>центральная</t>
  </si>
  <si>
    <t>вывоз  всего</t>
  </si>
  <si>
    <t>вывоз с бани</t>
  </si>
  <si>
    <t>вывоз с Клюевского центра</t>
  </si>
  <si>
    <t>ВСЕГО К ОПЛАТЕ</t>
  </si>
  <si>
    <t>м 3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</si>
  <si>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</si>
  <si>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</si>
  <si>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</si>
  <si>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</si>
  <si>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</si>
  <si>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</si>
  <si>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</si>
  <si>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</si>
  <si>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</si>
  <si>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</si>
  <si>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</si>
  <si>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</si>
  <si>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страхование жизни</t>
  </si>
  <si>
    <t>Канализация</t>
  </si>
  <si>
    <t>обслуживание сервера</t>
  </si>
  <si>
    <t>тбо</t>
  </si>
  <si>
    <t>Оплата текущего ремонта оборудования</t>
  </si>
  <si>
    <t>Техническое обслуживание пожарных кранов (1усл/полугодие * 5 500,00 руб.)</t>
  </si>
  <si>
    <t>Техническое обслуживание котельной трубы (чистка)</t>
  </si>
  <si>
    <t>Проверка средств измерений</t>
  </si>
  <si>
    <t>Заправка картриджей</t>
  </si>
  <si>
    <t>Техническое обслуживание медицинской техники (1 усл./квартал * 15200,00руб.)</t>
  </si>
  <si>
    <t>Техническое обслуживание автомобилей</t>
  </si>
  <si>
    <t>дератизация.дезинфекция (12мес*18480</t>
  </si>
  <si>
    <t xml:space="preserve">Зарядка огнетушителей </t>
  </si>
  <si>
    <t>Мониторинг пожарной сигнализации (2объекта*5500руб*12мес)</t>
  </si>
  <si>
    <t>мониторинг видео наблюдения</t>
  </si>
  <si>
    <t>КриптоПро: ЭЦП Контур - 10 000,00руб, Тензор - 3 000,00, Генер.ключ. - 2 000,00руб.</t>
  </si>
  <si>
    <t>ГАУЗ "Городская поликлиника № 6 медиц.осмотр - 100 чел. *2600 руб</t>
  </si>
  <si>
    <t>Производственный контроль: 4кв. * 18 000,00руб.</t>
  </si>
  <si>
    <t>Бак анализы: 16 000,00руб. * 4кв.</t>
  </si>
  <si>
    <t>Обслуживание сайта (900,00руб. * 12 мес.)</t>
  </si>
  <si>
    <t>Подписка в ФГУП "Почта России": 19 000,00 руб. * 2 полугодия</t>
  </si>
  <si>
    <t>Огнезащитная обработка 1 раз в год</t>
  </si>
  <si>
    <t>ООО "Конус Плюс" право использования лицензии</t>
  </si>
  <si>
    <t xml:space="preserve">ООО "Антариз" абонентская плата за систему "Глонасс" </t>
  </si>
  <si>
    <t>Проведение экспертизы, получение экспертного заключения</t>
  </si>
  <si>
    <t>Семинары: 12 чел. * 6500,00 руб./чел.</t>
  </si>
  <si>
    <t>Типографиские услуги: размешение, телевидение</t>
  </si>
  <si>
    <t xml:space="preserve">УФК по Республике Бурятия (ФБУЗ" Центр гигиены и эпидемиологии в Републике Бурятия) гигиеническое обучение персонала </t>
  </si>
  <si>
    <t xml:space="preserve">Компенсация стоимости проезда </t>
  </si>
  <si>
    <t>Компенсация найма жилых помещений</t>
  </si>
  <si>
    <t>ЧОУ ДПО "Сертификационный центр охраны труда"  обучение персонала</t>
  </si>
  <si>
    <t>Вневедомственная охрана (192000руб. * 12 мес.)</t>
  </si>
  <si>
    <t xml:space="preserve">Кнопка сигнал на фарм кабинет.: 5400,00руб.*12мес. </t>
  </si>
  <si>
    <t>месяц</t>
  </si>
  <si>
    <t>кол-во</t>
  </si>
  <si>
    <t>Ванна ВСМ-С-1.1110/530-02</t>
  </si>
  <si>
    <t>шт</t>
  </si>
  <si>
    <t>Ванна ВСМ-С-1.1250/600-02</t>
  </si>
  <si>
    <t>стол обедденный с подвесами для 6 табуретов</t>
  </si>
  <si>
    <t>табурет</t>
  </si>
  <si>
    <t>картофелечистка</t>
  </si>
  <si>
    <t xml:space="preserve">машина протирочно-резательная </t>
  </si>
  <si>
    <t xml:space="preserve">измельчитель </t>
  </si>
  <si>
    <t>тележки сервировочные</t>
  </si>
  <si>
    <t>тумбочки прикроватные</t>
  </si>
  <si>
    <t>кровать</t>
  </si>
  <si>
    <t>шкаф для уборки инфентаря</t>
  </si>
  <si>
    <t xml:space="preserve">шкаф кабинки для одежды </t>
  </si>
  <si>
    <t>шкаф для одежды угловые</t>
  </si>
  <si>
    <t>стол</t>
  </si>
  <si>
    <t>книжные полки навесные из 3 полок</t>
  </si>
  <si>
    <t>Хлеборезательная машина АХМ-300</t>
  </si>
  <si>
    <t>Овощерезательная машина ОМ-300</t>
  </si>
  <si>
    <t>Тестомес на 10 литров</t>
  </si>
  <si>
    <t>Шкаф LS-21 металлич. 2-х двер</t>
  </si>
  <si>
    <t>Стол ТМ пластик</t>
  </si>
  <si>
    <t>Весы электронные ВЭТ-15-1С</t>
  </si>
  <si>
    <t>Стойка для вешалок до 100 кг</t>
  </si>
  <si>
    <t>кровати многофункциональные</t>
  </si>
  <si>
    <t>стол тумба тип 2 и тип 3</t>
  </si>
  <si>
    <t xml:space="preserve">стул </t>
  </si>
  <si>
    <t xml:space="preserve">пуф </t>
  </si>
  <si>
    <t>Вата</t>
  </si>
  <si>
    <t>Салфетка антисептическая</t>
  </si>
  <si>
    <t>Покрывало изотерм</t>
  </si>
  <si>
    <t>Ватные палочки</t>
  </si>
  <si>
    <t>Перчатки хирургические</t>
  </si>
  <si>
    <t>Аптечка первой мед. помощи работникам</t>
  </si>
  <si>
    <t>Бинт гипсовый</t>
  </si>
  <si>
    <t>Бинт стерильный</t>
  </si>
  <si>
    <t>Бинт эластичный</t>
  </si>
  <si>
    <t>Вакцина дизентерийная</t>
  </si>
  <si>
    <t>Пакет под мед. отходы класса А</t>
  </si>
  <si>
    <t>Контейнер для биоматериалов</t>
  </si>
  <si>
    <t>Аптечка "Фест"</t>
  </si>
  <si>
    <t>бахилы</t>
  </si>
  <si>
    <t>масло</t>
  </si>
  <si>
    <t>КАМАЗ 505</t>
  </si>
  <si>
    <t>Газель</t>
  </si>
  <si>
    <t>наименование</t>
  </si>
  <si>
    <t>уголь</t>
  </si>
  <si>
    <t>Болты</t>
  </si>
  <si>
    <t>Бордюр обойный.</t>
  </si>
  <si>
    <t>Болты м16*70.</t>
  </si>
  <si>
    <t>Болты DIN 933 10*110.</t>
  </si>
  <si>
    <t>Гвозди 80 мм.</t>
  </si>
  <si>
    <t>Гвозди 120 мм.</t>
  </si>
  <si>
    <t>Гвозди 150 мм.</t>
  </si>
  <si>
    <t>Гвозди 200 мм.</t>
  </si>
  <si>
    <t>Эмаль для пола</t>
  </si>
  <si>
    <t>Эмаль ПФ черная</t>
  </si>
  <si>
    <t>Эмаль голубая</t>
  </si>
  <si>
    <t>Эмаль серая</t>
  </si>
  <si>
    <t>Эмаль золотистая</t>
  </si>
  <si>
    <t>Эмаль красно - коричневая</t>
  </si>
  <si>
    <t>Шпатлевка.</t>
  </si>
  <si>
    <t>Плинтус потолочный</t>
  </si>
  <si>
    <t>Линолеум 2 м.</t>
  </si>
  <si>
    <t>Штукатурка</t>
  </si>
  <si>
    <t>Цемент М 400</t>
  </si>
  <si>
    <t>Утеплитель</t>
  </si>
  <si>
    <t>Профиль стоечный</t>
  </si>
  <si>
    <t>Профиль направл</t>
  </si>
  <si>
    <t>Плитка потолочная</t>
  </si>
  <si>
    <t>Гипсокартон</t>
  </si>
  <si>
    <t>Саморезы</t>
  </si>
  <si>
    <t>Изолента</t>
  </si>
  <si>
    <t>Грунтовка акриловая глубокого проникновения.</t>
  </si>
  <si>
    <t>Гидроизоляция цементная.</t>
  </si>
  <si>
    <t>Герметик</t>
  </si>
  <si>
    <t>Выключатель</t>
  </si>
  <si>
    <t>Пена монтажная</t>
  </si>
  <si>
    <t>Очиститель пены монтажной</t>
  </si>
  <si>
    <t>Затирка "Плитонит"</t>
  </si>
  <si>
    <t>Шурупы</t>
  </si>
  <si>
    <t>Дюбель</t>
  </si>
  <si>
    <t>Затирка для швов</t>
  </si>
  <si>
    <t>Краска спей 400мл.</t>
  </si>
  <si>
    <t xml:space="preserve">Краска МА -15 </t>
  </si>
  <si>
    <t>Утеплитель базальтовый</t>
  </si>
  <si>
    <t>Соединитель плинтуса.</t>
  </si>
  <si>
    <t>Мочалка банная из полипроп.</t>
  </si>
  <si>
    <t>А-Дез (1л.) концентр дез. средство</t>
  </si>
  <si>
    <t>А-Дез хлорные таблетки</t>
  </si>
  <si>
    <t>А-Дез Экстра (ж./мыло)</t>
  </si>
  <si>
    <t>Жидкое мыло (5 литр.)</t>
  </si>
  <si>
    <t>Полотенце одноразовое, бумажное</t>
  </si>
  <si>
    <t>Мыло хозяйственное</t>
  </si>
  <si>
    <t>мыло банное</t>
  </si>
  <si>
    <t>Мыло туалетное</t>
  </si>
  <si>
    <t>Белизна</t>
  </si>
  <si>
    <t>Стиральный порошок</t>
  </si>
  <si>
    <t>туалетная бумага</t>
  </si>
  <si>
    <t>Мыло дезинф-е</t>
  </si>
  <si>
    <t>освежитель воздуха</t>
  </si>
  <si>
    <t>жидкость для мытья посуды</t>
  </si>
  <si>
    <t>маска одноразовая</t>
  </si>
  <si>
    <t>шапочка</t>
  </si>
  <si>
    <t>перчатки</t>
  </si>
  <si>
    <t>Выключатель электрический</t>
  </si>
  <si>
    <t>Вилка электрическая</t>
  </si>
  <si>
    <t>Верхонки</t>
  </si>
  <si>
    <t>Веник</t>
  </si>
  <si>
    <t>Бак</t>
  </si>
  <si>
    <t>Бур по бетону</t>
  </si>
  <si>
    <t>швабрв</t>
  </si>
  <si>
    <t>Кисть (малярная, побелочная)</t>
  </si>
  <si>
    <t>Коврик диэлектрический</t>
  </si>
  <si>
    <t>Круг/диск (отрезной, шлифовальный)</t>
  </si>
  <si>
    <t>Крючок для карнизов</t>
  </si>
  <si>
    <t>Ерш для унитаза</t>
  </si>
  <si>
    <t>Мешки (д./мусора, пищевые, ПВХ, ПНД)</t>
  </si>
  <si>
    <t>Марля</t>
  </si>
  <si>
    <t>Набор ключей комб. 12 пр..</t>
  </si>
  <si>
    <t>Лампы (Люминисц., 75Вт, 90Вт)</t>
  </si>
  <si>
    <t>Ножницы по металлу.</t>
  </si>
  <si>
    <t>Лопата (снегоуборочная, штыковая, совковая)</t>
  </si>
  <si>
    <t>Напильник</t>
  </si>
  <si>
    <t>Лента для мух</t>
  </si>
  <si>
    <t>Молоток</t>
  </si>
  <si>
    <t>Розетка электрическая</t>
  </si>
  <si>
    <t>Перчатки (повыш. прочности, двойные, х./б., ПВХ)</t>
  </si>
  <si>
    <t>Распредкаробка</t>
  </si>
  <si>
    <t>Удлинитель</t>
  </si>
  <si>
    <t>Унитаз</t>
  </si>
  <si>
    <t>Топор</t>
  </si>
  <si>
    <t>Скобы для строительного степлера</t>
  </si>
  <si>
    <t>Плечики</t>
  </si>
  <si>
    <t>Пистолет для герметика</t>
  </si>
  <si>
    <t>Пистолет для монтажной пены</t>
  </si>
  <si>
    <t>Отвертка</t>
  </si>
  <si>
    <t>Тазы (эмалированные, оцинкованные, пищевые)</t>
  </si>
  <si>
    <t>Уровень алюм. 60см.</t>
  </si>
  <si>
    <t>Паяльник</t>
  </si>
  <si>
    <t>Щетка (для мытья полов, труб, форме утюга)</t>
  </si>
  <si>
    <t>Шпагат</t>
  </si>
  <si>
    <t>Фун лента</t>
  </si>
  <si>
    <t>Ящик пластмасс.</t>
  </si>
  <si>
    <t>запчасти</t>
  </si>
  <si>
    <t>Сальник ротора насоса вакуумного КО.</t>
  </si>
  <si>
    <t>Фильтр осушителя воздуха.</t>
  </si>
  <si>
    <t>Диафрагма тормозной камеры тип 30 МАЗ.</t>
  </si>
  <si>
    <t>Диафрагма тормозной камеры тип 20 КАМАЗ.</t>
  </si>
  <si>
    <t>Брызговик пер.</t>
  </si>
  <si>
    <t>Брызговик зад.</t>
  </si>
  <si>
    <t>Гайка регулировочная 77.32.107а.</t>
  </si>
  <si>
    <t>Болт нат.</t>
  </si>
  <si>
    <t>Гайка (промопоры).</t>
  </si>
  <si>
    <t>Фонарь задний КамАЗ.</t>
  </si>
  <si>
    <t>Фильтр топливный КамАЗ.</t>
  </si>
  <si>
    <t>Фильтр масляный КамАЗ.</t>
  </si>
  <si>
    <t>Сальник передней ступицы КАМАЗ.</t>
  </si>
  <si>
    <t>Сальник задней ступицы КАМАЗ.</t>
  </si>
  <si>
    <t>Рем. комплект топливного фильтра.</t>
  </si>
  <si>
    <t>Рем. комплект масляного фильтра .</t>
  </si>
  <si>
    <t>Р./к. энергоаккумулятора тип 20 КамАЗ.</t>
  </si>
  <si>
    <t>Лампа 24/5.</t>
  </si>
  <si>
    <t>Лампа 24/21.</t>
  </si>
  <si>
    <t>Зеркало КамАЗ.</t>
  </si>
  <si>
    <t>Манжет армированная 55-80-10.</t>
  </si>
  <si>
    <t>Клапан электромагнитный.</t>
  </si>
  <si>
    <t>Клапан выпускной.</t>
  </si>
  <si>
    <t>Палец А34-2-01А ДТ-75.</t>
  </si>
  <si>
    <t>Муфта разрывная на S24.</t>
  </si>
  <si>
    <t>Фильтр масляный.</t>
  </si>
  <si>
    <t>Фильтр воздушный.</t>
  </si>
  <si>
    <t>Стойка ГМ.</t>
  </si>
  <si>
    <t>Пыльник стойки с отбойником.</t>
  </si>
  <si>
    <t>Стеклоочиститель</t>
  </si>
  <si>
    <t>Автокамера 10,00R20.</t>
  </si>
  <si>
    <t>Амортизатор на Фиат дуката</t>
  </si>
  <si>
    <t>Ротор насоса КО-505А</t>
  </si>
  <si>
    <t>Манометр для КО - 505А</t>
  </si>
  <si>
    <t>Сигнализатор уровня жидкости для КО - 505А</t>
  </si>
  <si>
    <t>Комплект прокладок для КО - 505А</t>
  </si>
  <si>
    <t>канцелярские товары</t>
  </si>
  <si>
    <t>Бумага для ксерокса</t>
  </si>
  <si>
    <t>Блок для записей</t>
  </si>
  <si>
    <t>Клей ПВА</t>
  </si>
  <si>
    <t>Ручка</t>
  </si>
  <si>
    <t>Карандаш</t>
  </si>
  <si>
    <t>Скобы для степлера</t>
  </si>
  <si>
    <t>Скоросшиватель</t>
  </si>
  <si>
    <t>Скрепки</t>
  </si>
  <si>
    <t>Стикеры</t>
  </si>
  <si>
    <t>Файлы</t>
  </si>
  <si>
    <t>Степлер</t>
  </si>
  <si>
    <t>Скотч</t>
  </si>
  <si>
    <t>Папка - регистратор</t>
  </si>
  <si>
    <t>Органайзер</t>
  </si>
  <si>
    <t>Тетрадь общая</t>
  </si>
  <si>
    <t>тетрадь тонкая</t>
  </si>
  <si>
    <t>штрих</t>
  </si>
  <si>
    <t>линейка</t>
  </si>
  <si>
    <t>Ножницы</t>
  </si>
  <si>
    <t>кнопки</t>
  </si>
  <si>
    <t>Маркер</t>
  </si>
  <si>
    <t>приобретение прочих материальных запасов пекарня</t>
  </si>
  <si>
    <t>Мука пшеничная первого сорта</t>
  </si>
  <si>
    <t xml:space="preserve">Мука ржаная </t>
  </si>
  <si>
    <t>Мука пшеничная второго сорта</t>
  </si>
  <si>
    <t>Мука пшеничная высшего сорта</t>
  </si>
  <si>
    <t>Маргарин</t>
  </si>
  <si>
    <t>Мак</t>
  </si>
  <si>
    <t>Изюм</t>
  </si>
  <si>
    <t>Дрожжи</t>
  </si>
  <si>
    <t>Ванилин</t>
  </si>
  <si>
    <t>Яйцо</t>
  </si>
  <si>
    <t>АИ-92</t>
  </si>
  <si>
    <t>ДТ</t>
  </si>
  <si>
    <t>установка двери, разделяющая варочный цех от заготовочных</t>
  </si>
  <si>
    <t>рулонная штора</t>
  </si>
  <si>
    <t>ручка дверная</t>
  </si>
  <si>
    <t>мясорубка мим-250</t>
  </si>
  <si>
    <t>котел варочный</t>
  </si>
  <si>
    <t>тележка для сбора посуды</t>
  </si>
  <si>
    <t>мармит передвижной</t>
  </si>
  <si>
    <t>шкаф холодильный</t>
  </si>
  <si>
    <t>ведро пластмассовое</t>
  </si>
  <si>
    <t>таз пластмассовый</t>
  </si>
  <si>
    <t>бак пластик</t>
  </si>
  <si>
    <t>поварешка</t>
  </si>
  <si>
    <t>лопатка</t>
  </si>
  <si>
    <t>нож поварской</t>
  </si>
  <si>
    <t>дуршлаг</t>
  </si>
  <si>
    <t>кастрюля нержавеющая</t>
  </si>
  <si>
    <t>комплект посуды</t>
  </si>
  <si>
    <t>СИЗ</t>
  </si>
  <si>
    <t>костюм пекаря</t>
  </si>
  <si>
    <t>костюм повара белый</t>
  </si>
  <si>
    <t>костюм повара бирюзовый</t>
  </si>
  <si>
    <t>фартук хб белый</t>
  </si>
  <si>
    <t>фартук без грудки</t>
  </si>
  <si>
    <t>халат для защиты от загрязнений</t>
  </si>
  <si>
    <t>колпак поварской</t>
  </si>
  <si>
    <t>костюм уборка</t>
  </si>
  <si>
    <t>обувь для поваров</t>
  </si>
  <si>
    <t>полотенце банное</t>
  </si>
  <si>
    <t>кресло офисное</t>
  </si>
  <si>
    <t>водонагреватель 100л</t>
  </si>
  <si>
    <t>ручка дверная с замком</t>
  </si>
  <si>
    <t>Степлер строительный</t>
  </si>
  <si>
    <t>лопато штыковая</t>
  </si>
  <si>
    <t>лопата совковая</t>
  </si>
  <si>
    <t>метла</t>
  </si>
  <si>
    <t>сифон для раковины</t>
  </si>
  <si>
    <t>светильник светодилдный круглый</t>
  </si>
  <si>
    <t>круг отрезной</t>
  </si>
  <si>
    <t>проволока для сварочного полуавтомаита</t>
  </si>
  <si>
    <t>кг</t>
  </si>
  <si>
    <t>шуруповерт</t>
  </si>
  <si>
    <t>окномойка</t>
  </si>
  <si>
    <t>Швабра с микрофиброй</t>
  </si>
  <si>
    <t>микрофибра</t>
  </si>
  <si>
    <t>Райтоп хранение</t>
  </si>
  <si>
    <t>райтоп транспортировка угля</t>
  </si>
  <si>
    <t>Расчет э/энерии</t>
  </si>
  <si>
    <t>АУСО РБ Бабушкинский дом-интернат</t>
  </si>
  <si>
    <t>халат</t>
  </si>
  <si>
    <t>доходы</t>
  </si>
  <si>
    <t>расходы</t>
  </si>
  <si>
    <t>ээ</t>
  </si>
  <si>
    <t>каналиация</t>
  </si>
  <si>
    <t>уоль</t>
  </si>
  <si>
    <t>гсм</t>
  </si>
  <si>
    <t>стр мат</t>
  </si>
  <si>
    <t>мягк</t>
  </si>
  <si>
    <t>однократного прим</t>
  </si>
  <si>
    <t>зем налог</t>
  </si>
  <si>
    <t>трансп и водн</t>
  </si>
  <si>
    <t>ассоц и негативка</t>
  </si>
  <si>
    <t>медик</t>
  </si>
  <si>
    <t>пекарня</t>
  </si>
  <si>
    <t>работы</t>
  </si>
  <si>
    <t>услуги</t>
  </si>
  <si>
    <t>ос</t>
  </si>
  <si>
    <t>доставка угля</t>
  </si>
  <si>
    <t>бл</t>
  </si>
  <si>
    <t>команд</t>
  </si>
  <si>
    <t>зп</t>
  </si>
  <si>
    <t>отчисл</t>
  </si>
  <si>
    <t>транп</t>
  </si>
  <si>
    <t>прочие</t>
  </si>
  <si>
    <t>226(227)</t>
  </si>
  <si>
    <t>усно</t>
  </si>
  <si>
    <t>аренда</t>
  </si>
  <si>
    <t>сиз</t>
  </si>
  <si>
    <t>пост</t>
  </si>
  <si>
    <t>остаток на начало года</t>
  </si>
  <si>
    <t>С 01.01 ПО 01.12.23</t>
  </si>
  <si>
    <t>с 01,07,2024</t>
  </si>
  <si>
    <t>С 01.01-30,06,24</t>
  </si>
  <si>
    <t>испытание пожарных лестниц</t>
  </si>
  <si>
    <t>косметический ремонт администрации</t>
  </si>
  <si>
    <t>2023план</t>
  </si>
  <si>
    <t>факт23</t>
  </si>
  <si>
    <t>2024 план</t>
  </si>
  <si>
    <t>-</t>
  </si>
  <si>
    <t>СОУТ</t>
  </si>
  <si>
    <t>замена окон в мужской корпус</t>
  </si>
  <si>
    <t>дверь милосердие металлическая</t>
  </si>
  <si>
    <t>замена окон в милосердие</t>
  </si>
  <si>
    <t>составление сметы по утеплению фасада</t>
  </si>
  <si>
    <t>Обязательное страхование автогражданской ответственности (ОСАГО -</t>
  </si>
  <si>
    <t>стул обеденный</t>
  </si>
  <si>
    <t>таблетницы</t>
  </si>
  <si>
    <t>тест полоски аку чек</t>
  </si>
  <si>
    <t>упак</t>
  </si>
  <si>
    <t>шприц 5,0</t>
  </si>
  <si>
    <t>шприц 10,0</t>
  </si>
  <si>
    <t>шприц 20,0</t>
  </si>
  <si>
    <t>шприц 3,0</t>
  </si>
  <si>
    <t>Бинт 7х14</t>
  </si>
  <si>
    <t>Контейнер для биоматериалов со шпателем</t>
  </si>
  <si>
    <t>шпатель</t>
  </si>
  <si>
    <t>Лейкопластырь 4х500</t>
  </si>
  <si>
    <t>набор гинекологический</t>
  </si>
  <si>
    <t>фиточаи</t>
  </si>
  <si>
    <t>аскорбиновая кислота</t>
  </si>
  <si>
    <t>шкаф для уборки инвентаря</t>
  </si>
  <si>
    <t>сахар</t>
  </si>
  <si>
    <t>повидло</t>
  </si>
  <si>
    <t>сосиски</t>
  </si>
  <si>
    <t>соль</t>
  </si>
  <si>
    <t>костюм для сиделки</t>
  </si>
  <si>
    <t>костюм медикам</t>
  </si>
  <si>
    <t>костюм кочегарам</t>
  </si>
  <si>
    <t>прикроватные столы</t>
  </si>
  <si>
    <t>зеркала антивандальные</t>
  </si>
  <si>
    <t>светильники с датчиком движения</t>
  </si>
  <si>
    <t>фиат</t>
  </si>
  <si>
    <t>многофункциональные кровати</t>
  </si>
  <si>
    <t>продукты пит</t>
  </si>
  <si>
    <t>Утверждаю директор АУСО РБ "Бабушкинский ДИ"</t>
  </si>
  <si>
    <t>____________________Д.О.Баранников</t>
  </si>
  <si>
    <t>Инвентаризация мягкого инвентаря</t>
  </si>
  <si>
    <t>Комиссия в составе председателя комиссии зам.директора Гавриковой Н.В., членов комиссии главного специалиста Бурлаковой Н.П., экономиста Карелиной А.Н., кастелянши Кнор И.Н., сиделок Лопато Ю.М, Бутаковой Т.В., Игнатьевой О.С. ,согласно приказа № 161ОД от 30 июля 2024 года, провели внутренюю ревизию мягкого инвентаря. данные по потребности представлены ниже в таблице</t>
  </si>
  <si>
    <t xml:space="preserve">Сумма потребности составляет </t>
  </si>
  <si>
    <t>председатель комиссии</t>
  </si>
  <si>
    <t>Н.В.Гаврикова</t>
  </si>
  <si>
    <t xml:space="preserve">Члены комиссии: </t>
  </si>
  <si>
    <t>Н.П.Бурлакова</t>
  </si>
  <si>
    <t>А.Н.Карелина</t>
  </si>
  <si>
    <t>И.Н.Кнор</t>
  </si>
  <si>
    <t>Ю.М.Лопато</t>
  </si>
  <si>
    <t>Т.В.Бутакова</t>
  </si>
  <si>
    <t>О.С.Игнатьева</t>
  </si>
  <si>
    <t>потребность</t>
  </si>
  <si>
    <t>Свод расчетов (обоснований) к исполнению ФХД на 20_24___г</t>
  </si>
</sst>
</file>

<file path=xl/styles.xml><?xml version="1.0" encoding="utf-8"?>
<styleSheet xmlns="http://schemas.openxmlformats.org/spreadsheetml/2006/main">
  <numFmts count="17">
    <numFmt numFmtId="43" formatCode="_-* #,##0.00\ _₽_-;\-* #,##0.00\ _₽_-;_-* &quot;-&quot;??\ _₽_-;_-@_-"/>
    <numFmt numFmtId="164" formatCode="_-* #,##0.00_-;\-* #,##0.00_-;_-* &quot;-&quot;??_-;_-@_-"/>
    <numFmt numFmtId="165" formatCode="#,##0.00\ _₽"/>
    <numFmt numFmtId="166" formatCode="#,##0.00_ ;[Red]\-#,##0.00\ "/>
    <numFmt numFmtId="167" formatCode="#,##0.0"/>
    <numFmt numFmtId="168" formatCode="_-* #,##0.0\ _₽_-;\-* #,##0.0\ _₽_-;_-* &quot;-&quot;?\ _₽_-;_-@_-"/>
    <numFmt numFmtId="169" formatCode="#,##0.0_ ;[Red]\-#,##0.0\ "/>
    <numFmt numFmtId="170" formatCode="0.0"/>
    <numFmt numFmtId="171" formatCode="0.0%"/>
    <numFmt numFmtId="172" formatCode="_-* #,##0.00_р_._-;\-* #,##0.00_р_._-;_-* &quot;-&quot;??_р_._-;_-@_-"/>
    <numFmt numFmtId="173" formatCode="_-* #,##0.0_-;\-* #,##0.0_-;_-* &quot;-&quot;??_-;_-@_-"/>
    <numFmt numFmtId="174" formatCode="#,##0_ ;[Red]\-#,##0\ "/>
    <numFmt numFmtId="175" formatCode="#,##0.000"/>
    <numFmt numFmtId="176" formatCode="0.000;[Red]\-0.000"/>
    <numFmt numFmtId="177" formatCode="0.00;[Red]\-0.00"/>
    <numFmt numFmtId="178" formatCode="0.000"/>
    <numFmt numFmtId="179" formatCode="#,##0.00;[Red]\-#,##0.00"/>
  </numFmts>
  <fonts count="42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i/>
      <u/>
      <sz val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2"/>
      <charset val="204"/>
    </font>
    <font>
      <b/>
      <i/>
      <u/>
      <sz val="12"/>
      <color rgb="FFFF0000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4"/>
      <color rgb="FFFF0000"/>
      <name val="Times New Roman"/>
      <family val="1"/>
      <charset val="204"/>
    </font>
    <font>
      <i/>
      <u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</font>
    <font>
      <sz val="8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39" fillId="0" borderId="0"/>
    <xf numFmtId="0" fontId="39" fillId="0" borderId="0"/>
  </cellStyleXfs>
  <cellXfs count="562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Continuous" vertical="center"/>
    </xf>
    <xf numFmtId="166" fontId="3" fillId="0" borderId="1" xfId="0" applyNumberFormat="1" applyFont="1" applyBorder="1"/>
    <xf numFmtId="166" fontId="3" fillId="0" borderId="1" xfId="0" applyNumberFormat="1" applyFont="1" applyBorder="1" applyAlignment="1">
      <alignment vertical="center" readingOrder="1"/>
    </xf>
    <xf numFmtId="166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4" fontId="3" fillId="5" borderId="1" xfId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9" fontId="3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readingOrder="1"/>
    </xf>
    <xf numFmtId="0" fontId="3" fillId="0" borderId="1" xfId="0" applyFont="1" applyBorder="1" applyAlignment="1">
      <alignment horizontal="center" vertical="center" readingOrder="1"/>
    </xf>
    <xf numFmtId="2" fontId="3" fillId="0" borderId="1" xfId="0" applyNumberFormat="1" applyFont="1" applyBorder="1" applyAlignment="1">
      <alignment readingOrder="1"/>
    </xf>
    <xf numFmtId="164" fontId="3" fillId="0" borderId="1" xfId="1" applyFont="1" applyFill="1" applyBorder="1" applyAlignment="1">
      <alignment readingOrder="1"/>
    </xf>
    <xf numFmtId="166" fontId="3" fillId="0" borderId="1" xfId="0" applyNumberFormat="1" applyFont="1" applyBorder="1" applyAlignment="1">
      <alignment horizontal="center" readingOrder="1"/>
    </xf>
    <xf numFmtId="165" fontId="3" fillId="0" borderId="1" xfId="0" applyNumberFormat="1" applyFont="1" applyBorder="1" applyAlignment="1">
      <alignment horizontal="center" readingOrder="1"/>
    </xf>
    <xf numFmtId="166" fontId="3" fillId="0" borderId="1" xfId="0" applyNumberFormat="1" applyFont="1" applyBorder="1" applyAlignment="1">
      <alignment readingOrder="1"/>
    </xf>
    <xf numFmtId="0" fontId="3" fillId="0" borderId="1" xfId="0" applyFont="1" applyBorder="1" applyAlignment="1">
      <alignment horizontal="center" readingOrder="1"/>
    </xf>
    <xf numFmtId="165" fontId="3" fillId="0" borderId="1" xfId="0" applyNumberFormat="1" applyFont="1" applyBorder="1" applyAlignment="1">
      <alignment horizontal="center" vertical="center" readingOrder="1"/>
    </xf>
    <xf numFmtId="170" fontId="3" fillId="0" borderId="1" xfId="0" applyNumberFormat="1" applyFont="1" applyBorder="1" applyAlignment="1">
      <alignment horizontal="center" readingOrder="1"/>
    </xf>
    <xf numFmtId="0" fontId="3" fillId="0" borderId="1" xfId="0" applyFont="1" applyBorder="1" applyAlignment="1">
      <alignment vertical="center" readingOrder="1"/>
    </xf>
    <xf numFmtId="166" fontId="3" fillId="0" borderId="1" xfId="0" applyNumberFormat="1" applyFont="1" applyBorder="1" applyAlignment="1">
      <alignment horizontal="left" vertical="center" readingOrder="1"/>
    </xf>
    <xf numFmtId="1" fontId="3" fillId="0" borderId="1" xfId="0" applyNumberFormat="1" applyFont="1" applyBorder="1" applyAlignment="1">
      <alignment horizontal="center" readingOrder="1"/>
    </xf>
    <xf numFmtId="0" fontId="3" fillId="0" borderId="1" xfId="0" applyFont="1" applyBorder="1" applyAlignment="1">
      <alignment wrapText="1" readingOrder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readingOrder="1"/>
    </xf>
    <xf numFmtId="164" fontId="3" fillId="0" borderId="1" xfId="1" applyFont="1" applyFill="1" applyBorder="1" applyAlignment="1">
      <alignment horizontal="center" readingOrder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/>
    <xf numFmtId="0" fontId="5" fillId="0" borderId="1" xfId="0" applyFont="1" applyBorder="1"/>
    <xf numFmtId="9" fontId="5" fillId="0" borderId="1" xfId="0" applyNumberFormat="1" applyFont="1" applyBorder="1"/>
    <xf numFmtId="0" fontId="5" fillId="3" borderId="1" xfId="0" applyFont="1" applyFill="1" applyBorder="1"/>
    <xf numFmtId="165" fontId="5" fillId="3" borderId="1" xfId="0" applyNumberFormat="1" applyFont="1" applyFill="1" applyBorder="1"/>
    <xf numFmtId="165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65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165" fontId="5" fillId="2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5" fontId="5" fillId="0" borderId="1" xfId="0" applyNumberFormat="1" applyFont="1" applyBorder="1" applyAlignment="1">
      <alignment horizontal="center" wrapText="1"/>
    </xf>
    <xf numFmtId="0" fontId="5" fillId="2" borderId="1" xfId="0" applyFont="1" applyFill="1" applyBorder="1"/>
    <xf numFmtId="0" fontId="4" fillId="0" borderId="0" xfId="0" applyFont="1"/>
    <xf numFmtId="9" fontId="3" fillId="0" borderId="1" xfId="0" applyNumberFormat="1" applyFont="1" applyBorder="1" applyAlignment="1">
      <alignment horizontal="center"/>
    </xf>
    <xf numFmtId="171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169" fontId="10" fillId="0" borderId="0" xfId="0" applyNumberFormat="1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0" xfId="1" applyFont="1"/>
    <xf numFmtId="2" fontId="3" fillId="4" borderId="1" xfId="0" applyNumberFormat="1" applyFont="1" applyFill="1" applyBorder="1"/>
    <xf numFmtId="173" fontId="3" fillId="4" borderId="1" xfId="1" applyNumberFormat="1" applyFont="1" applyFill="1" applyBorder="1"/>
    <xf numFmtId="168" fontId="3" fillId="4" borderId="1" xfId="0" applyNumberFormat="1" applyFont="1" applyFill="1" applyBorder="1"/>
    <xf numFmtId="0" fontId="3" fillId="4" borderId="2" xfId="0" applyFont="1" applyFill="1" applyBorder="1"/>
    <xf numFmtId="169" fontId="3" fillId="5" borderId="4" xfId="0" applyNumberFormat="1" applyFont="1" applyFill="1" applyBorder="1" applyAlignment="1">
      <alignment vertical="center"/>
    </xf>
    <xf numFmtId="173" fontId="3" fillId="0" borderId="0" xfId="0" applyNumberFormat="1" applyFont="1"/>
    <xf numFmtId="0" fontId="0" fillId="0" borderId="0" xfId="0" applyAlignment="1">
      <alignment vertical="center" wrapText="1"/>
    </xf>
    <xf numFmtId="164" fontId="0" fillId="0" borderId="1" xfId="1" applyFont="1" applyBorder="1"/>
    <xf numFmtId="2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Border="1" applyAlignment="1">
      <alignment vertical="center"/>
    </xf>
    <xf numFmtId="43" fontId="0" fillId="0" borderId="0" xfId="0" applyNumberFormat="1"/>
    <xf numFmtId="0" fontId="0" fillId="7" borderId="1" xfId="0" applyFill="1" applyBorder="1"/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164" fontId="3" fillId="0" borderId="0" xfId="1" applyFont="1" applyAlignment="1">
      <alignment horizontal="center" vertical="center"/>
    </xf>
    <xf numFmtId="0" fontId="3" fillId="0" borderId="0" xfId="0" applyFont="1" applyAlignment="1">
      <alignment wrapText="1"/>
    </xf>
    <xf numFmtId="43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0" xfId="0" applyAlignment="1">
      <alignment horizontal="center" wrapText="1"/>
    </xf>
    <xf numFmtId="165" fontId="5" fillId="0" borderId="0" xfId="0" applyNumberFormat="1" applyFont="1"/>
    <xf numFmtId="9" fontId="5" fillId="0" borderId="0" xfId="0" applyNumberFormat="1" applyFont="1"/>
    <xf numFmtId="0" fontId="6" fillId="0" borderId="0" xfId="0" applyFont="1" applyAlignment="1">
      <alignment vertical="center"/>
    </xf>
    <xf numFmtId="0" fontId="5" fillId="8" borderId="1" xfId="0" applyFont="1" applyFill="1" applyBorder="1"/>
    <xf numFmtId="0" fontId="5" fillId="8" borderId="1" xfId="0" applyFont="1" applyFill="1" applyBorder="1" applyAlignment="1">
      <alignment horizontal="center"/>
    </xf>
    <xf numFmtId="0" fontId="9" fillId="0" borderId="7" xfId="0" applyFont="1" applyBorder="1"/>
    <xf numFmtId="167" fontId="15" fillId="5" borderId="1" xfId="0" applyNumberFormat="1" applyFont="1" applyFill="1" applyBorder="1" applyAlignment="1">
      <alignment horizontal="left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169" fontId="15" fillId="5" borderId="1" xfId="3" applyNumberFormat="1" applyFont="1" applyFill="1" applyBorder="1" applyAlignment="1">
      <alignment horizontal="center" vertical="center" wrapText="1"/>
    </xf>
    <xf numFmtId="169" fontId="15" fillId="2" borderId="1" xfId="3" applyNumberFormat="1" applyFont="1" applyFill="1" applyBorder="1" applyAlignment="1">
      <alignment horizontal="center" vertical="center" wrapText="1"/>
    </xf>
    <xf numFmtId="169" fontId="15" fillId="6" borderId="1" xfId="3" applyNumberFormat="1" applyFont="1" applyFill="1" applyBorder="1" applyAlignment="1">
      <alignment horizontal="center" vertical="center" wrapText="1"/>
    </xf>
    <xf numFmtId="167" fontId="15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67" fontId="17" fillId="0" borderId="1" xfId="0" applyNumberFormat="1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vertical="center" wrapText="1"/>
    </xf>
    <xf numFmtId="167" fontId="17" fillId="0" borderId="1" xfId="0" applyNumberFormat="1" applyFont="1" applyBorder="1" applyAlignment="1">
      <alignment horizontal="center" vertical="center"/>
    </xf>
    <xf numFmtId="167" fontId="19" fillId="0" borderId="1" xfId="0" applyNumberFormat="1" applyFont="1" applyBorder="1" applyAlignment="1">
      <alignment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left" vertical="center" wrapText="1" indent="4"/>
    </xf>
    <xf numFmtId="167" fontId="19" fillId="0" borderId="1" xfId="0" applyNumberFormat="1" applyFont="1" applyBorder="1" applyAlignment="1">
      <alignment horizontal="left" vertical="center" wrapText="1" indent="4"/>
    </xf>
    <xf numFmtId="167" fontId="21" fillId="0" borderId="1" xfId="0" applyNumberFormat="1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167" fontId="17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43" fontId="3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9" fontId="3" fillId="5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horizontal="center" vertical="center"/>
    </xf>
    <xf numFmtId="2" fontId="3" fillId="9" borderId="1" xfId="0" applyNumberFormat="1" applyFont="1" applyFill="1" applyBorder="1"/>
    <xf numFmtId="0" fontId="3" fillId="9" borderId="2" xfId="0" applyFont="1" applyFill="1" applyBorder="1"/>
    <xf numFmtId="169" fontId="3" fillId="9" borderId="4" xfId="0" applyNumberFormat="1" applyFont="1" applyFill="1" applyBorder="1" applyAlignment="1">
      <alignment vertical="center"/>
    </xf>
    <xf numFmtId="168" fontId="3" fillId="9" borderId="1" xfId="0" applyNumberFormat="1" applyFont="1" applyFill="1" applyBorder="1"/>
    <xf numFmtId="2" fontId="3" fillId="5" borderId="1" xfId="0" applyNumberFormat="1" applyFont="1" applyFill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top" wrapText="1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top" wrapText="1"/>
    </xf>
    <xf numFmtId="0" fontId="10" fillId="8" borderId="6" xfId="0" applyFont="1" applyFill="1" applyBorder="1" applyAlignment="1">
      <alignment horizontal="center" vertical="center" wrapText="1"/>
    </xf>
    <xf numFmtId="167" fontId="16" fillId="5" borderId="1" xfId="0" applyNumberFormat="1" applyFont="1" applyFill="1" applyBorder="1" applyAlignment="1">
      <alignment horizontal="left" vertical="center" wrapText="1"/>
    </xf>
    <xf numFmtId="169" fontId="15" fillId="8" borderId="1" xfId="3" applyNumberFormat="1" applyFont="1" applyFill="1" applyBorder="1" applyAlignment="1">
      <alignment horizontal="center" vertical="center" wrapText="1"/>
    </xf>
    <xf numFmtId="174" fontId="13" fillId="0" borderId="1" xfId="0" applyNumberFormat="1" applyFont="1" applyBorder="1" applyAlignment="1">
      <alignment horizontal="center" vertical="top" wrapText="1"/>
    </xf>
    <xf numFmtId="0" fontId="10" fillId="8" borderId="11" xfId="0" applyFont="1" applyFill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166" fontId="15" fillId="8" borderId="1" xfId="3" applyNumberFormat="1" applyFont="1" applyFill="1" applyBorder="1" applyAlignment="1">
      <alignment horizontal="center" vertical="center" wrapText="1"/>
    </xf>
    <xf numFmtId="166" fontId="13" fillId="5" borderId="1" xfId="0" applyNumberFormat="1" applyFont="1" applyFill="1" applyBorder="1" applyAlignment="1">
      <alignment horizontal="center" vertical="top" wrapText="1"/>
    </xf>
    <xf numFmtId="166" fontId="10" fillId="5" borderId="1" xfId="0" applyNumberFormat="1" applyFont="1" applyFill="1" applyBorder="1" applyAlignment="1">
      <alignment horizontal="center" vertical="center" wrapText="1"/>
    </xf>
    <xf numFmtId="166" fontId="10" fillId="5" borderId="6" xfId="0" applyNumberFormat="1" applyFont="1" applyFill="1" applyBorder="1" applyAlignment="1">
      <alignment horizontal="center" vertical="top" wrapText="1"/>
    </xf>
    <xf numFmtId="166" fontId="15" fillId="5" borderId="1" xfId="3" applyNumberFormat="1" applyFont="1" applyFill="1" applyBorder="1" applyAlignment="1">
      <alignment horizontal="center" vertical="center" wrapText="1"/>
    </xf>
    <xf numFmtId="166" fontId="10" fillId="5" borderId="6" xfId="0" applyNumberFormat="1" applyFont="1" applyFill="1" applyBorder="1" applyAlignment="1">
      <alignment horizontal="center" vertical="center" wrapText="1"/>
    </xf>
    <xf numFmtId="166" fontId="15" fillId="2" borderId="1" xfId="3" applyNumberFormat="1" applyFont="1" applyFill="1" applyBorder="1" applyAlignment="1">
      <alignment horizontal="center" vertical="center" wrapText="1"/>
    </xf>
    <xf numFmtId="166" fontId="10" fillId="5" borderId="5" xfId="0" applyNumberFormat="1" applyFont="1" applyFill="1" applyBorder="1" applyAlignment="1">
      <alignment horizontal="center" vertical="center" wrapText="1"/>
    </xf>
    <xf numFmtId="166" fontId="10" fillId="5" borderId="5" xfId="0" applyNumberFormat="1" applyFont="1" applyFill="1" applyBorder="1" applyAlignment="1">
      <alignment vertical="center" wrapText="1"/>
    </xf>
    <xf numFmtId="166" fontId="15" fillId="6" borderId="1" xfId="3" applyNumberFormat="1" applyFont="1" applyFill="1" applyBorder="1" applyAlignment="1">
      <alignment horizontal="center" vertical="center" wrapText="1"/>
    </xf>
    <xf numFmtId="166" fontId="10" fillId="5" borderId="1" xfId="0" applyNumberFormat="1" applyFont="1" applyFill="1" applyBorder="1" applyAlignment="1">
      <alignment horizontal="center" vertical="top" wrapText="1"/>
    </xf>
    <xf numFmtId="166" fontId="3" fillId="5" borderId="1" xfId="0" applyNumberFormat="1" applyFont="1" applyFill="1" applyBorder="1" applyAlignment="1">
      <alignment horizontal="center" vertical="center" wrapText="1"/>
    </xf>
    <xf numFmtId="166" fontId="10" fillId="5" borderId="0" xfId="0" applyNumberFormat="1" applyFont="1" applyFill="1" applyAlignment="1">
      <alignment horizontal="center" vertical="center" wrapText="1"/>
    </xf>
    <xf numFmtId="0" fontId="0" fillId="5" borderId="0" xfId="0" applyFill="1"/>
    <xf numFmtId="166" fontId="10" fillId="0" borderId="0" xfId="0" applyNumberFormat="1" applyFont="1" applyAlignment="1">
      <alignment horizontal="center" vertical="center" wrapText="1"/>
    </xf>
    <xf numFmtId="166" fontId="10" fillId="8" borderId="6" xfId="0" applyNumberFormat="1" applyFont="1" applyFill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top" wrapText="1"/>
    </xf>
    <xf numFmtId="166" fontId="10" fillId="0" borderId="1" xfId="0" applyNumberFormat="1" applyFont="1" applyBorder="1" applyAlignment="1">
      <alignment horizontal="center" vertical="center" wrapText="1"/>
    </xf>
    <xf numFmtId="166" fontId="10" fillId="8" borderId="11" xfId="0" applyNumberFormat="1" applyFont="1" applyFill="1" applyBorder="1" applyAlignment="1">
      <alignment horizontal="center" vertical="center" wrapText="1"/>
    </xf>
    <xf numFmtId="166" fontId="10" fillId="0" borderId="6" xfId="0" applyNumberFormat="1" applyFont="1" applyBorder="1" applyAlignment="1">
      <alignment horizontal="center" vertical="top" wrapText="1"/>
    </xf>
    <xf numFmtId="166" fontId="11" fillId="2" borderId="6" xfId="0" applyNumberFormat="1" applyFont="1" applyFill="1" applyBorder="1" applyAlignment="1">
      <alignment horizontal="center" vertical="center" wrapText="1"/>
    </xf>
    <xf numFmtId="166" fontId="10" fillId="0" borderId="6" xfId="0" applyNumberFormat="1" applyFont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center" vertical="center" wrapText="1"/>
    </xf>
    <xf numFmtId="166" fontId="10" fillId="0" borderId="5" xfId="0" applyNumberFormat="1" applyFont="1" applyBorder="1" applyAlignment="1">
      <alignment horizontal="center" vertical="center" wrapText="1"/>
    </xf>
    <xf numFmtId="166" fontId="10" fillId="0" borderId="5" xfId="0" applyNumberFormat="1" applyFont="1" applyBorder="1" applyAlignment="1">
      <alignment vertical="center" wrapText="1"/>
    </xf>
    <xf numFmtId="166" fontId="10" fillId="6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center" wrapText="1"/>
    </xf>
    <xf numFmtId="166" fontId="16" fillId="8" borderId="2" xfId="0" applyNumberFormat="1" applyFont="1" applyFill="1" applyBorder="1" applyAlignment="1">
      <alignment horizontal="center" vertical="center" wrapText="1"/>
    </xf>
    <xf numFmtId="166" fontId="15" fillId="0" borderId="1" xfId="3" applyNumberFormat="1" applyFont="1" applyBorder="1" applyAlignment="1">
      <alignment horizontal="center" vertical="center" wrapText="1"/>
    </xf>
    <xf numFmtId="166" fontId="17" fillId="8" borderId="1" xfId="3" applyNumberFormat="1" applyFont="1" applyFill="1" applyBorder="1" applyAlignment="1">
      <alignment horizontal="center" vertical="center" wrapText="1"/>
    </xf>
    <xf numFmtId="166" fontId="17" fillId="0" borderId="1" xfId="3" applyNumberFormat="1" applyFont="1" applyBorder="1" applyAlignment="1">
      <alignment horizontal="center" vertical="center" wrapText="1"/>
    </xf>
    <xf numFmtId="166" fontId="18" fillId="8" borderId="2" xfId="0" applyNumberFormat="1" applyFont="1" applyFill="1" applyBorder="1" applyAlignment="1">
      <alignment horizontal="center" vertical="center" wrapText="1"/>
    </xf>
    <xf numFmtId="166" fontId="17" fillId="2" borderId="1" xfId="3" applyNumberFormat="1" applyFont="1" applyFill="1" applyBorder="1" applyAlignment="1">
      <alignment horizontal="center" vertical="center" wrapText="1"/>
    </xf>
    <xf numFmtId="166" fontId="17" fillId="6" borderId="1" xfId="3" applyNumberFormat="1" applyFont="1" applyFill="1" applyBorder="1" applyAlignment="1">
      <alignment horizontal="center" vertical="center" wrapText="1"/>
    </xf>
    <xf numFmtId="166" fontId="9" fillId="8" borderId="1" xfId="3" applyNumberFormat="1" applyFont="1" applyFill="1" applyBorder="1" applyAlignment="1">
      <alignment horizontal="center" vertical="center" wrapText="1"/>
    </xf>
    <xf numFmtId="166" fontId="9" fillId="0" borderId="1" xfId="3" applyNumberFormat="1" applyFont="1" applyBorder="1" applyAlignment="1">
      <alignment horizontal="center" vertical="center" wrapText="1"/>
    </xf>
    <xf numFmtId="166" fontId="10" fillId="8" borderId="2" xfId="0" applyNumberFormat="1" applyFont="1" applyFill="1" applyBorder="1" applyAlignment="1">
      <alignment horizontal="center" vertical="center" wrapText="1"/>
    </xf>
    <xf numFmtId="166" fontId="9" fillId="2" borderId="1" xfId="3" applyNumberFormat="1" applyFont="1" applyFill="1" applyBorder="1" applyAlignment="1">
      <alignment horizontal="center" vertical="center" wrapText="1"/>
    </xf>
    <xf numFmtId="166" fontId="9" fillId="6" borderId="1" xfId="3" applyNumberFormat="1" applyFont="1" applyFill="1" applyBorder="1" applyAlignment="1">
      <alignment horizontal="center" vertical="center" wrapText="1"/>
    </xf>
    <xf numFmtId="166" fontId="9" fillId="2" borderId="1" xfId="3" applyNumberFormat="1" applyFont="1" applyFill="1" applyBorder="1" applyAlignment="1" applyProtection="1">
      <alignment horizontal="center" vertical="center" wrapText="1"/>
      <protection hidden="1"/>
    </xf>
    <xf numFmtId="166" fontId="9" fillId="0" borderId="1" xfId="3" applyNumberFormat="1" applyFont="1" applyFill="1" applyBorder="1" applyAlignment="1">
      <alignment horizontal="center" vertical="center" wrapText="1"/>
    </xf>
    <xf numFmtId="166" fontId="17" fillId="2" borderId="1" xfId="3" applyNumberFormat="1" applyFont="1" applyFill="1" applyBorder="1" applyAlignment="1" applyProtection="1">
      <alignment horizontal="center" vertical="center" wrapText="1"/>
      <protection hidden="1"/>
    </xf>
    <xf numFmtId="166" fontId="19" fillId="8" borderId="1" xfId="3" applyNumberFormat="1" applyFont="1" applyFill="1" applyBorder="1" applyAlignment="1">
      <alignment horizontal="center" vertical="center" wrapText="1"/>
    </xf>
    <xf numFmtId="166" fontId="19" fillId="0" borderId="1" xfId="3" applyNumberFormat="1" applyFont="1" applyBorder="1" applyAlignment="1">
      <alignment horizontal="center" vertical="center" wrapText="1"/>
    </xf>
    <xf numFmtId="166" fontId="19" fillId="2" borderId="1" xfId="3" applyNumberFormat="1" applyFont="1" applyFill="1" applyBorder="1" applyAlignment="1">
      <alignment horizontal="center" vertical="center" wrapText="1"/>
    </xf>
    <xf numFmtId="166" fontId="19" fillId="6" borderId="1" xfId="3" applyNumberFormat="1" applyFont="1" applyFill="1" applyBorder="1" applyAlignment="1">
      <alignment horizontal="center" vertical="center" wrapText="1"/>
    </xf>
    <xf numFmtId="166" fontId="19" fillId="2" borderId="1" xfId="3" applyNumberFormat="1" applyFont="1" applyFill="1" applyBorder="1" applyAlignment="1" applyProtection="1">
      <alignment horizontal="center" vertical="center" wrapText="1"/>
      <protection hidden="1"/>
    </xf>
    <xf numFmtId="166" fontId="20" fillId="8" borderId="2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0" fillId="5" borderId="6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4" fontId="13" fillId="0" borderId="1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9" fontId="15" fillId="8" borderId="2" xfId="0" applyNumberFormat="1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167" fontId="30" fillId="0" borderId="1" xfId="0" applyNumberFormat="1" applyFont="1" applyBorder="1" applyAlignment="1">
      <alignment vertical="center" wrapText="1"/>
    </xf>
    <xf numFmtId="3" fontId="31" fillId="0" borderId="1" xfId="0" applyNumberFormat="1" applyFont="1" applyBorder="1" applyAlignment="1">
      <alignment horizontal="center" vertical="center"/>
    </xf>
    <xf numFmtId="167" fontId="31" fillId="0" borderId="1" xfId="0" applyNumberFormat="1" applyFont="1" applyBorder="1" applyAlignment="1">
      <alignment vertical="center" wrapText="1"/>
    </xf>
    <xf numFmtId="3" fontId="31" fillId="0" borderId="1" xfId="0" applyNumberFormat="1" applyFont="1" applyBorder="1" applyAlignment="1">
      <alignment horizontal="center" vertical="center" wrapText="1"/>
    </xf>
    <xf numFmtId="49" fontId="29" fillId="5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66" fontId="10" fillId="10" borderId="1" xfId="0" applyNumberFormat="1" applyFont="1" applyFill="1" applyBorder="1" applyAlignment="1">
      <alignment horizontal="center" vertical="center" wrapText="1"/>
    </xf>
    <xf numFmtId="166" fontId="17" fillId="10" borderId="1" xfId="3" applyNumberFormat="1" applyFont="1" applyFill="1" applyBorder="1" applyAlignment="1">
      <alignment horizontal="center" vertical="center" wrapText="1"/>
    </xf>
    <xf numFmtId="166" fontId="19" fillId="10" borderId="1" xfId="3" applyNumberFormat="1" applyFont="1" applyFill="1" applyBorder="1" applyAlignment="1">
      <alignment horizontal="center" vertical="center" wrapText="1"/>
    </xf>
    <xf numFmtId="166" fontId="9" fillId="10" borderId="1" xfId="3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166" fontId="13" fillId="11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4" fillId="0" borderId="0" xfId="0" applyFont="1"/>
    <xf numFmtId="0" fontId="35" fillId="0" borderId="1" xfId="4" applyFont="1" applyBorder="1"/>
    <xf numFmtId="0" fontId="11" fillId="0" borderId="1" xfId="0" applyFont="1" applyBorder="1" applyAlignment="1">
      <alignment readingOrder="1"/>
    </xf>
    <xf numFmtId="0" fontId="35" fillId="12" borderId="1" xfId="4" applyFont="1" applyFill="1" applyBorder="1"/>
    <xf numFmtId="0" fontId="35" fillId="0" borderId="1" xfId="4" applyFont="1" applyBorder="1" applyAlignment="1">
      <alignment wrapText="1"/>
    </xf>
    <xf numFmtId="0" fontId="11" fillId="12" borderId="1" xfId="0" applyFont="1" applyFill="1" applyBorder="1" applyAlignment="1">
      <alignment readingOrder="1"/>
    </xf>
    <xf numFmtId="0" fontId="35" fillId="12" borderId="1" xfId="4" applyFont="1" applyFill="1" applyBorder="1" applyAlignment="1">
      <alignment horizontal="left"/>
    </xf>
    <xf numFmtId="0" fontId="35" fillId="0" borderId="1" xfId="4" applyFont="1" applyBorder="1" applyAlignment="1">
      <alignment horizontal="justify" wrapText="1"/>
    </xf>
    <xf numFmtId="1" fontId="3" fillId="0" borderId="1" xfId="0" applyNumberFormat="1" applyFont="1" applyBorder="1" applyAlignment="1">
      <alignment readingOrder="1"/>
    </xf>
    <xf numFmtId="170" fontId="3" fillId="0" borderId="1" xfId="0" applyNumberFormat="1" applyFont="1" applyBorder="1" applyAlignment="1">
      <alignment readingOrder="1"/>
    </xf>
    <xf numFmtId="2" fontId="0" fillId="0" borderId="1" xfId="0" applyNumberFormat="1" applyBorder="1"/>
    <xf numFmtId="0" fontId="0" fillId="0" borderId="0" xfId="0" applyAlignment="1">
      <alignment horizontal="left"/>
    </xf>
    <xf numFmtId="0" fontId="36" fillId="0" borderId="0" xfId="0" applyFont="1"/>
    <xf numFmtId="0" fontId="12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2" xfId="0" applyFont="1" applyBorder="1" applyAlignment="1">
      <alignment horizontal="justify" wrapText="1"/>
    </xf>
    <xf numFmtId="0" fontId="12" fillId="0" borderId="3" xfId="0" applyFont="1" applyBorder="1" applyAlignment="1">
      <alignment horizontal="justify" wrapText="1"/>
    </xf>
    <xf numFmtId="0" fontId="12" fillId="0" borderId="1" xfId="0" applyFont="1" applyBorder="1" applyAlignment="1">
      <alignment horizontal="left" wrapText="1"/>
    </xf>
    <xf numFmtId="0" fontId="12" fillId="0" borderId="4" xfId="0" applyFont="1" applyBorder="1" applyAlignment="1">
      <alignment horizontal="justify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horizontal="left" wrapText="1"/>
    </xf>
    <xf numFmtId="3" fontId="12" fillId="0" borderId="1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0" fillId="0" borderId="9" xfId="0" applyFill="1" applyBorder="1"/>
    <xf numFmtId="0" fontId="37" fillId="0" borderId="1" xfId="0" applyFont="1" applyBorder="1" applyAlignment="1">
      <alignment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justify" vertical="top" wrapText="1"/>
    </xf>
    <xf numFmtId="0" fontId="37" fillId="0" borderId="1" xfId="0" applyFont="1" applyBorder="1" applyAlignment="1">
      <alignment horizontal="center"/>
    </xf>
    <xf numFmtId="4" fontId="37" fillId="0" borderId="1" xfId="0" applyNumberFormat="1" applyFont="1" applyBorder="1" applyAlignment="1">
      <alignment horizontal="center"/>
    </xf>
    <xf numFmtId="0" fontId="37" fillId="2" borderId="1" xfId="0" applyFont="1" applyFill="1" applyBorder="1" applyAlignment="1">
      <alignment horizontal="center" vertical="center" wrapText="1"/>
    </xf>
    <xf numFmtId="165" fontId="37" fillId="2" borderId="1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justify" vertical="top" wrapText="1"/>
    </xf>
    <xf numFmtId="175" fontId="9" fillId="0" borderId="1" xfId="4" applyNumberFormat="1" applyFont="1" applyBorder="1" applyAlignment="1">
      <alignment horizontal="right"/>
    </xf>
    <xf numFmtId="0" fontId="9" fillId="0" borderId="1" xfId="0" applyFont="1" applyBorder="1" applyAlignment="1">
      <alignment horizontal="justify" wrapText="1"/>
    </xf>
    <xf numFmtId="175" fontId="9" fillId="0" borderId="2" xfId="4" applyNumberFormat="1" applyFont="1" applyBorder="1" applyAlignment="1">
      <alignment horizontal="right"/>
    </xf>
    <xf numFmtId="175" fontId="9" fillId="0" borderId="1" xfId="0" applyNumberFormat="1" applyFont="1" applyBorder="1" applyAlignment="1">
      <alignment horizontal="right"/>
    </xf>
    <xf numFmtId="175" fontId="37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wrapText="1"/>
    </xf>
    <xf numFmtId="0" fontId="9" fillId="0" borderId="1" xfId="4" applyFont="1" applyBorder="1" applyAlignment="1">
      <alignment horizontal="left" wrapText="1"/>
    </xf>
    <xf numFmtId="0" fontId="37" fillId="0" borderId="1" xfId="0" applyFont="1" applyBorder="1" applyAlignment="1">
      <alignment wrapText="1"/>
    </xf>
    <xf numFmtId="164" fontId="37" fillId="0" borderId="1" xfId="1" applyFont="1" applyBorder="1"/>
    <xf numFmtId="2" fontId="37" fillId="0" borderId="1" xfId="0" applyNumberFormat="1" applyFont="1" applyBorder="1" applyAlignment="1">
      <alignment horizontal="center"/>
    </xf>
    <xf numFmtId="0" fontId="38" fillId="0" borderId="1" xfId="0" applyFont="1" applyBorder="1" applyAlignment="1">
      <alignment wrapText="1"/>
    </xf>
    <xf numFmtId="0" fontId="38" fillId="0" borderId="1" xfId="0" applyFont="1" applyBorder="1" applyAlignment="1">
      <alignment horizontal="center" vertical="center"/>
    </xf>
    <xf numFmtId="164" fontId="38" fillId="0" borderId="1" xfId="1" applyFont="1" applyBorder="1" applyAlignment="1">
      <alignment vertical="center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center"/>
    </xf>
    <xf numFmtId="0" fontId="37" fillId="0" borderId="0" xfId="0" applyFont="1"/>
    <xf numFmtId="43" fontId="37" fillId="0" borderId="0" xfId="0" applyNumberFormat="1" applyFont="1"/>
    <xf numFmtId="165" fontId="37" fillId="0" borderId="1" xfId="0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justify" wrapText="1"/>
    </xf>
    <xf numFmtId="176" fontId="9" fillId="0" borderId="1" xfId="4" applyNumberFormat="1" applyFont="1" applyBorder="1" applyAlignment="1">
      <alignment horizontal="right" vertical="top"/>
    </xf>
    <xf numFmtId="177" fontId="9" fillId="0" borderId="1" xfId="4" applyNumberFormat="1" applyFont="1" applyBorder="1" applyAlignment="1">
      <alignment horizontal="right" vertical="top"/>
    </xf>
    <xf numFmtId="4" fontId="37" fillId="0" borderId="1" xfId="0" applyNumberFormat="1" applyFont="1" applyFill="1" applyBorder="1" applyAlignment="1">
      <alignment horizontal="center"/>
    </xf>
    <xf numFmtId="0" fontId="37" fillId="0" borderId="1" xfId="0" applyFont="1" applyBorder="1" applyAlignment="1">
      <alignment horizontal="justify" wrapText="1"/>
    </xf>
    <xf numFmtId="0" fontId="37" fillId="0" borderId="1" xfId="0" applyFont="1" applyBorder="1" applyAlignment="1">
      <alignment horizontal="right" wrapText="1"/>
    </xf>
    <xf numFmtId="178" fontId="9" fillId="0" borderId="1" xfId="4" applyNumberFormat="1" applyFont="1" applyBorder="1" applyAlignment="1">
      <alignment horizontal="right" vertical="top"/>
    </xf>
    <xf numFmtId="4" fontId="37" fillId="0" borderId="1" xfId="0" applyNumberFormat="1" applyFont="1" applyBorder="1" applyAlignment="1">
      <alignment horizontal="right" wrapText="1"/>
    </xf>
    <xf numFmtId="176" fontId="9" fillId="0" borderId="1" xfId="4" applyNumberFormat="1" applyFont="1" applyBorder="1" applyAlignment="1">
      <alignment horizontal="right" wrapText="1"/>
    </xf>
    <xf numFmtId="177" fontId="9" fillId="0" borderId="1" xfId="4" applyNumberFormat="1" applyFont="1" applyBorder="1" applyAlignment="1">
      <alignment horizontal="right" wrapText="1"/>
    </xf>
    <xf numFmtId="0" fontId="9" fillId="0" borderId="1" xfId="4" applyFont="1" applyBorder="1" applyAlignment="1">
      <alignment horizontal="left" vertical="top" wrapText="1"/>
    </xf>
    <xf numFmtId="179" fontId="9" fillId="0" borderId="1" xfId="4" applyNumberFormat="1" applyFont="1" applyBorder="1" applyAlignment="1">
      <alignment horizontal="right" vertical="top"/>
    </xf>
    <xf numFmtId="4" fontId="37" fillId="0" borderId="5" xfId="0" applyNumberFormat="1" applyFont="1" applyBorder="1" applyAlignment="1">
      <alignment horizontal="center"/>
    </xf>
    <xf numFmtId="176" fontId="9" fillId="0" borderId="1" xfId="4" applyNumberFormat="1" applyFont="1" applyBorder="1" applyAlignment="1">
      <alignment horizontal="right"/>
    </xf>
    <xf numFmtId="177" fontId="9" fillId="0" borderId="1" xfId="4" applyNumberFormat="1" applyFont="1" applyBorder="1" applyAlignment="1">
      <alignment horizontal="right"/>
    </xf>
    <xf numFmtId="178" fontId="37" fillId="0" borderId="1" xfId="0" applyNumberFormat="1" applyFont="1" applyBorder="1" applyAlignment="1">
      <alignment horizontal="right" wrapText="1"/>
    </xf>
    <xf numFmtId="176" fontId="9" fillId="0" borderId="1" xfId="4" applyNumberFormat="1" applyFont="1" applyBorder="1" applyAlignment="1">
      <alignment horizontal="right" vertical="top" wrapText="1"/>
    </xf>
    <xf numFmtId="177" fontId="9" fillId="0" borderId="1" xfId="4" applyNumberFormat="1" applyFont="1" applyBorder="1" applyAlignment="1">
      <alignment horizontal="right" vertical="top" wrapText="1"/>
    </xf>
    <xf numFmtId="0" fontId="9" fillId="0" borderId="17" xfId="4" applyFont="1" applyBorder="1" applyAlignment="1">
      <alignment horizontal="justify" wrapText="1"/>
    </xf>
    <xf numFmtId="177" fontId="9" fillId="0" borderId="18" xfId="4" applyNumberFormat="1" applyFont="1" applyBorder="1" applyAlignment="1">
      <alignment horizontal="right" wrapText="1"/>
    </xf>
    <xf numFmtId="0" fontId="37" fillId="0" borderId="1" xfId="0" applyFont="1" applyBorder="1"/>
    <xf numFmtId="0" fontId="37" fillId="7" borderId="1" xfId="0" applyFont="1" applyFill="1" applyBorder="1"/>
    <xf numFmtId="4" fontId="37" fillId="0" borderId="1" xfId="0" applyNumberFormat="1" applyFont="1" applyBorder="1"/>
    <xf numFmtId="176" fontId="9" fillId="0" borderId="2" xfId="4" applyNumberFormat="1" applyFont="1" applyBorder="1" applyAlignment="1">
      <alignment horizontal="right"/>
    </xf>
    <xf numFmtId="0" fontId="9" fillId="0" borderId="19" xfId="0" applyFont="1" applyBorder="1" applyAlignment="1">
      <alignment horizontal="justify" wrapText="1"/>
    </xf>
    <xf numFmtId="176" fontId="9" fillId="0" borderId="20" xfId="0" applyNumberFormat="1" applyFont="1" applyBorder="1" applyAlignment="1">
      <alignment horizontal="right" vertical="top"/>
    </xf>
    <xf numFmtId="0" fontId="9" fillId="0" borderId="16" xfId="0" applyFont="1" applyBorder="1" applyAlignment="1">
      <alignment horizontal="left" wrapText="1"/>
    </xf>
    <xf numFmtId="176" fontId="9" fillId="0" borderId="2" xfId="0" applyNumberFormat="1" applyFont="1" applyBorder="1" applyAlignment="1">
      <alignment horizontal="right"/>
    </xf>
    <xf numFmtId="176" fontId="9" fillId="0" borderId="20" xfId="0" applyNumberFormat="1" applyFont="1" applyBorder="1" applyAlignment="1">
      <alignment horizontal="right"/>
    </xf>
    <xf numFmtId="0" fontId="9" fillId="0" borderId="19" xfId="0" applyFont="1" applyBorder="1" applyAlignment="1">
      <alignment horizontal="left" vertical="top" wrapText="1"/>
    </xf>
    <xf numFmtId="176" fontId="9" fillId="0" borderId="16" xfId="0" applyNumberFormat="1" applyFont="1" applyBorder="1" applyAlignment="1">
      <alignment horizontal="right"/>
    </xf>
    <xf numFmtId="0" fontId="38" fillId="0" borderId="1" xfId="0" applyFont="1" applyBorder="1" applyAlignment="1">
      <alignment vertical="center" wrapText="1"/>
    </xf>
    <xf numFmtId="176" fontId="9" fillId="0" borderId="2" xfId="4" applyNumberFormat="1" applyFont="1" applyBorder="1" applyAlignment="1">
      <alignment horizontal="right" vertical="top"/>
    </xf>
    <xf numFmtId="0" fontId="9" fillId="0" borderId="1" xfId="4" applyFont="1" applyBorder="1" applyAlignment="1">
      <alignment horizontal="justify" vertical="top" wrapText="1"/>
    </xf>
    <xf numFmtId="0" fontId="15" fillId="0" borderId="1" xfId="4" applyFont="1" applyBorder="1" applyAlignment="1">
      <alignment horizontal="justify" vertical="top" wrapText="1"/>
    </xf>
    <xf numFmtId="0" fontId="9" fillId="0" borderId="1" xfId="5" applyNumberFormat="1" applyFont="1" applyFill="1" applyBorder="1" applyAlignment="1">
      <alignment horizontal="left" vertical="top" wrapText="1"/>
    </xf>
    <xf numFmtId="3" fontId="9" fillId="0" borderId="1" xfId="5" applyNumberFormat="1" applyFont="1" applyFill="1" applyBorder="1" applyAlignment="1">
      <alignment horizontal="center" vertical="top"/>
    </xf>
    <xf numFmtId="4" fontId="9" fillId="0" borderId="1" xfId="5" applyNumberFormat="1" applyFont="1" applyFill="1" applyBorder="1" applyAlignment="1">
      <alignment horizontal="center" vertical="top"/>
    </xf>
    <xf numFmtId="0" fontId="9" fillId="0" borderId="1" xfId="6" applyNumberFormat="1" applyFont="1" applyFill="1" applyBorder="1" applyAlignment="1">
      <alignment horizontal="justify" vertical="top" wrapText="1"/>
    </xf>
    <xf numFmtId="175" fontId="9" fillId="0" borderId="1" xfId="5" applyNumberFormat="1" applyFont="1" applyFill="1" applyBorder="1" applyAlignment="1">
      <alignment horizontal="center" vertical="top"/>
    </xf>
    <xf numFmtId="0" fontId="37" fillId="1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/>
    <xf numFmtId="0" fontId="9" fillId="0" borderId="0" xfId="4" applyFont="1" applyBorder="1" applyAlignment="1">
      <alignment horizontal="justify" wrapText="1"/>
    </xf>
    <xf numFmtId="177" fontId="9" fillId="0" borderId="0" xfId="4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176" fontId="9" fillId="0" borderId="0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 wrapText="1"/>
    </xf>
    <xf numFmtId="0" fontId="40" fillId="0" borderId="0" xfId="0" applyFont="1"/>
    <xf numFmtId="17" fontId="0" fillId="0" borderId="1" xfId="0" applyNumberFormat="1" applyBorder="1"/>
    <xf numFmtId="17" fontId="33" fillId="0" borderId="1" xfId="0" applyNumberFormat="1" applyFont="1" applyBorder="1"/>
    <xf numFmtId="0" fontId="33" fillId="0" borderId="1" xfId="0" applyFont="1" applyBorder="1"/>
    <xf numFmtId="4" fontId="9" fillId="12" borderId="1" xfId="4" applyNumberFormat="1" applyFont="1" applyFill="1" applyBorder="1" applyAlignment="1">
      <alignment horizontal="right"/>
    </xf>
    <xf numFmtId="4" fontId="37" fillId="12" borderId="1" xfId="0" applyNumberFormat="1" applyFont="1" applyFill="1" applyBorder="1" applyAlignment="1"/>
    <xf numFmtId="4" fontId="9" fillId="12" borderId="1" xfId="0" applyNumberFormat="1" applyFont="1" applyFill="1" applyBorder="1" applyAlignment="1">
      <alignment horizontal="right"/>
    </xf>
    <xf numFmtId="4" fontId="37" fillId="12" borderId="1" xfId="0" applyNumberFormat="1" applyFont="1" applyFill="1" applyBorder="1" applyAlignment="1">
      <alignment horizontal="right"/>
    </xf>
    <xf numFmtId="4" fontId="37" fillId="12" borderId="1" xfId="0" applyNumberFormat="1" applyFont="1" applyFill="1" applyBorder="1" applyAlignment="1">
      <alignment horizontal="center"/>
    </xf>
    <xf numFmtId="0" fontId="37" fillId="13" borderId="1" xfId="0" applyFont="1" applyFill="1" applyBorder="1" applyAlignment="1">
      <alignment horizontal="center"/>
    </xf>
    <xf numFmtId="0" fontId="37" fillId="1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 vertical="center" wrapText="1"/>
    </xf>
    <xf numFmtId="4" fontId="37" fillId="12" borderId="1" xfId="0" applyNumberFormat="1" applyFont="1" applyFill="1" applyBorder="1"/>
    <xf numFmtId="166" fontId="9" fillId="12" borderId="1" xfId="4" applyNumberFormat="1" applyFont="1" applyFill="1" applyBorder="1" applyAlignment="1">
      <alignment horizontal="right"/>
    </xf>
    <xf numFmtId="0" fontId="5" fillId="12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readingOrder="1"/>
    </xf>
    <xf numFmtId="166" fontId="3" fillId="0" borderId="1" xfId="0" applyNumberFormat="1" applyFont="1" applyFill="1" applyBorder="1" applyAlignment="1">
      <alignment readingOrder="1"/>
    </xf>
    <xf numFmtId="166" fontId="3" fillId="0" borderId="1" xfId="0" applyNumberFormat="1" applyFont="1" applyFill="1" applyBorder="1"/>
    <xf numFmtId="166" fontId="11" fillId="12" borderId="1" xfId="0" applyNumberFormat="1" applyFont="1" applyFill="1" applyBorder="1" applyAlignment="1">
      <alignment horizontal="center" vertical="center" readingOrder="1"/>
    </xf>
    <xf numFmtId="166" fontId="11" fillId="12" borderId="1" xfId="0" applyNumberFormat="1" applyFont="1" applyFill="1" applyBorder="1" applyAlignment="1">
      <alignment vertical="center" readingOrder="1"/>
    </xf>
    <xf numFmtId="166" fontId="11" fillId="12" borderId="1" xfId="0" applyNumberFormat="1" applyFont="1" applyFill="1" applyBorder="1" applyAlignment="1"/>
    <xf numFmtId="166" fontId="11" fillId="12" borderId="1" xfId="0" applyNumberFormat="1" applyFont="1" applyFill="1" applyBorder="1"/>
    <xf numFmtId="166" fontId="11" fillId="12" borderId="1" xfId="0" applyNumberFormat="1" applyFont="1" applyFill="1" applyBorder="1" applyAlignment="1">
      <alignment readingOrder="1"/>
    </xf>
    <xf numFmtId="166" fontId="11" fillId="0" borderId="1" xfId="0" applyNumberFormat="1" applyFont="1" applyFill="1" applyBorder="1" applyAlignment="1">
      <alignment readingOrder="1"/>
    </xf>
    <xf numFmtId="166" fontId="11" fillId="0" borderId="1" xfId="0" applyNumberFormat="1" applyFont="1" applyFill="1" applyBorder="1" applyAlignment="1">
      <alignment vertical="center" readingOrder="1"/>
    </xf>
    <xf numFmtId="166" fontId="11" fillId="0" borderId="1" xfId="0" applyNumberFormat="1" applyFont="1" applyFill="1" applyBorder="1" applyAlignment="1"/>
    <xf numFmtId="166" fontId="11" fillId="0" borderId="1" xfId="0" applyNumberFormat="1" applyFont="1" applyFill="1" applyBorder="1"/>
    <xf numFmtId="166" fontId="11" fillId="0" borderId="1" xfId="0" applyNumberFormat="1" applyFont="1" applyFill="1" applyBorder="1" applyAlignment="1">
      <alignment horizontal="center" vertical="center" readingOrder="1"/>
    </xf>
    <xf numFmtId="0" fontId="9" fillId="14" borderId="0" xfId="0" applyFont="1" applyFill="1" applyAlignment="1">
      <alignment wrapText="1"/>
    </xf>
    <xf numFmtId="0" fontId="9" fillId="14" borderId="0" xfId="0" applyFont="1" applyFill="1"/>
    <xf numFmtId="0" fontId="9" fillId="14" borderId="7" xfId="0" applyFont="1" applyFill="1" applyBorder="1"/>
    <xf numFmtId="0" fontId="13" fillId="14" borderId="5" xfId="0" applyFont="1" applyFill="1" applyBorder="1" applyAlignment="1">
      <alignment horizontal="center" vertical="top" wrapText="1"/>
    </xf>
    <xf numFmtId="169" fontId="15" fillId="14" borderId="1" xfId="3" applyNumberFormat="1" applyFont="1" applyFill="1" applyBorder="1" applyAlignment="1">
      <alignment horizontal="center" vertical="center" wrapText="1"/>
    </xf>
    <xf numFmtId="166" fontId="13" fillId="14" borderId="1" xfId="0" applyNumberFormat="1" applyFont="1" applyFill="1" applyBorder="1" applyAlignment="1">
      <alignment horizontal="center" vertical="top" wrapText="1"/>
    </xf>
    <xf numFmtId="166" fontId="15" fillId="14" borderId="1" xfId="3" applyNumberFormat="1" applyFont="1" applyFill="1" applyBorder="1" applyAlignment="1">
      <alignment horizontal="center" vertical="center" wrapText="1"/>
    </xf>
    <xf numFmtId="166" fontId="10" fillId="14" borderId="1" xfId="0" applyNumberFormat="1" applyFont="1" applyFill="1" applyBorder="1" applyAlignment="1">
      <alignment horizontal="center" vertical="center" wrapText="1"/>
    </xf>
    <xf numFmtId="166" fontId="17" fillId="14" borderId="1" xfId="3" applyNumberFormat="1" applyFont="1" applyFill="1" applyBorder="1" applyAlignment="1">
      <alignment horizontal="center" vertical="center" wrapText="1"/>
    </xf>
    <xf numFmtId="166" fontId="9" fillId="14" borderId="1" xfId="3" applyNumberFormat="1" applyFont="1" applyFill="1" applyBorder="1" applyAlignment="1">
      <alignment horizontal="center" vertical="center" wrapText="1"/>
    </xf>
    <xf numFmtId="166" fontId="19" fillId="14" borderId="1" xfId="3" applyNumberFormat="1" applyFont="1" applyFill="1" applyBorder="1" applyAlignment="1">
      <alignment horizontal="center" vertical="center" wrapText="1"/>
    </xf>
    <xf numFmtId="0" fontId="0" fillId="14" borderId="0" xfId="0" applyFill="1"/>
    <xf numFmtId="0" fontId="10" fillId="12" borderId="5" xfId="0" applyFont="1" applyFill="1" applyBorder="1" applyAlignment="1">
      <alignment horizontal="center" vertical="center" wrapText="1"/>
    </xf>
    <xf numFmtId="0" fontId="13" fillId="12" borderId="5" xfId="0" applyFont="1" applyFill="1" applyBorder="1" applyAlignment="1">
      <alignment horizontal="center" vertical="top" wrapText="1"/>
    </xf>
    <xf numFmtId="2" fontId="0" fillId="0" borderId="0" xfId="0" applyNumberFormat="1"/>
    <xf numFmtId="0" fontId="37" fillId="0" borderId="1" xfId="0" applyFont="1" applyBorder="1" applyAlignment="1">
      <alignment horizontal="left"/>
    </xf>
    <xf numFmtId="165" fontId="37" fillId="0" borderId="1" xfId="0" applyNumberFormat="1" applyFont="1" applyBorder="1"/>
    <xf numFmtId="9" fontId="37" fillId="0" borderId="1" xfId="0" applyNumberFormat="1" applyFont="1" applyBorder="1"/>
    <xf numFmtId="165" fontId="37" fillId="0" borderId="1" xfId="0" applyNumberFormat="1" applyFont="1" applyBorder="1" applyAlignment="1">
      <alignment horizontal="center"/>
    </xf>
    <xf numFmtId="165" fontId="5" fillId="8" borderId="1" xfId="0" applyNumberFormat="1" applyFont="1" applyFill="1" applyBorder="1"/>
    <xf numFmtId="166" fontId="3" fillId="5" borderId="4" xfId="0" applyNumberFormat="1" applyFont="1" applyFill="1" applyBorder="1" applyAlignment="1">
      <alignment vertical="center"/>
    </xf>
    <xf numFmtId="4" fontId="5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3" xfId="0" applyFill="1" applyBorder="1" applyAlignment="1">
      <alignment wrapText="1"/>
    </xf>
    <xf numFmtId="0" fontId="37" fillId="0" borderId="1" xfId="0" applyFont="1" applyFill="1" applyBorder="1" applyAlignment="1">
      <alignment wrapText="1"/>
    </xf>
    <xf numFmtId="2" fontId="37" fillId="0" borderId="1" xfId="0" applyNumberFormat="1" applyFont="1" applyFill="1" applyBorder="1" applyAlignment="1">
      <alignment horizontal="center"/>
    </xf>
    <xf numFmtId="164" fontId="37" fillId="0" borderId="1" xfId="1" applyFont="1" applyFill="1" applyBorder="1"/>
    <xf numFmtId="165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/>
    <xf numFmtId="0" fontId="37" fillId="0" borderId="1" xfId="0" applyFont="1" applyFill="1" applyBorder="1" applyAlignment="1">
      <alignment horizontal="center"/>
    </xf>
    <xf numFmtId="165" fontId="41" fillId="0" borderId="0" xfId="0" applyNumberFormat="1" applyFont="1" applyAlignment="1">
      <alignment horizontal="center" vertical="center" wrapText="1"/>
    </xf>
    <xf numFmtId="166" fontId="10" fillId="10" borderId="1" xfId="0" applyNumberFormat="1" applyFont="1" applyFill="1" applyBorder="1" applyAlignment="1">
      <alignment horizontal="center" vertical="top" wrapText="1"/>
    </xf>
    <xf numFmtId="166" fontId="10" fillId="14" borderId="1" xfId="0" applyNumberFormat="1" applyFont="1" applyFill="1" applyBorder="1" applyAlignment="1">
      <alignment horizontal="center" vertical="top" wrapText="1"/>
    </xf>
    <xf numFmtId="174" fontId="10" fillId="0" borderId="1" xfId="0" applyNumberFormat="1" applyFont="1" applyBorder="1" applyAlignment="1">
      <alignment horizontal="center" vertical="top" wrapText="1"/>
    </xf>
    <xf numFmtId="174" fontId="10" fillId="0" borderId="1" xfId="0" applyNumberFormat="1" applyFont="1" applyBorder="1" applyAlignment="1">
      <alignment horizontal="center" vertical="center" wrapText="1"/>
    </xf>
    <xf numFmtId="166" fontId="10" fillId="11" borderId="1" xfId="0" applyNumberFormat="1" applyFont="1" applyFill="1" applyBorder="1" applyAlignment="1">
      <alignment horizontal="center" vertical="center" wrapText="1"/>
    </xf>
    <xf numFmtId="174" fontId="15" fillId="8" borderId="1" xfId="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49" fontId="10" fillId="0" borderId="5" xfId="0" applyNumberFormat="1" applyFont="1" applyBorder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6" xfId="0" applyNumberFormat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7" fontId="3" fillId="9" borderId="0" xfId="0" applyNumberFormat="1" applyFont="1" applyFill="1" applyAlignment="1">
      <alignment horizontal="right" vertical="center" wrapText="1"/>
    </xf>
    <xf numFmtId="167" fontId="3" fillId="0" borderId="0" xfId="0" applyNumberFormat="1" applyFont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readingOrder="1"/>
    </xf>
    <xf numFmtId="0" fontId="3" fillId="0" borderId="4" xfId="0" applyFont="1" applyBorder="1" applyAlignment="1">
      <alignment horizontal="left" readingOrder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/>
    <xf numFmtId="0" fontId="6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/>
    </xf>
    <xf numFmtId="0" fontId="37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</cellXfs>
  <cellStyles count="7">
    <cellStyle name="Обычный" xfId="0" builtinId="0"/>
    <cellStyle name="Обычный 2" xfId="4"/>
    <cellStyle name="Обычный_ст.340 (пекарня)" xfId="5"/>
    <cellStyle name="Обычный_Ст.340 (продукты)" xfId="6"/>
    <cellStyle name="Процентный" xfId="2" builtinId="5"/>
    <cellStyle name="Финансовый" xfId="1" builtinId="3"/>
    <cellStyle name="Финансовый 3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opLeftCell="A7" workbookViewId="0">
      <selection activeCell="J25" sqref="J25:O28"/>
    </sheetView>
  </sheetViews>
  <sheetFormatPr defaultRowHeight="15.6"/>
  <cols>
    <col min="1" max="1" width="24.296875" customWidth="1"/>
    <col min="2" max="2" width="6" customWidth="1"/>
    <col min="3" max="3" width="9.09765625" customWidth="1"/>
    <col min="4" max="4" width="8.59765625" customWidth="1"/>
    <col min="5" max="5" width="6.8984375" customWidth="1"/>
    <col min="6" max="6" width="9.796875" customWidth="1"/>
    <col min="8" max="8" width="9.796875" customWidth="1"/>
    <col min="10" max="10" width="16.5" customWidth="1"/>
    <col min="14" max="14" width="9.8984375" customWidth="1"/>
    <col min="15" max="15" width="12.8984375" customWidth="1"/>
    <col min="16" max="17" width="8.796875" hidden="1" customWidth="1"/>
  </cols>
  <sheetData>
    <row r="1" spans="1:17">
      <c r="H1" s="1" t="s">
        <v>1088</v>
      </c>
    </row>
    <row r="2" spans="1:17">
      <c r="H2" s="1" t="s">
        <v>1089</v>
      </c>
    </row>
    <row r="4" spans="1:17">
      <c r="A4" t="s">
        <v>1090</v>
      </c>
    </row>
    <row r="6" spans="1:17" ht="78.599999999999994" customHeight="1">
      <c r="A6" s="460" t="s">
        <v>1091</v>
      </c>
      <c r="B6" s="460"/>
      <c r="C6" s="460"/>
      <c r="D6" s="460"/>
      <c r="E6" s="460"/>
      <c r="F6" s="460"/>
      <c r="G6" s="460"/>
      <c r="H6" s="460"/>
    </row>
    <row r="9" spans="1:17" s="121" customFormat="1" ht="79.2" customHeight="1">
      <c r="A9" s="99" t="s">
        <v>298</v>
      </c>
      <c r="B9" s="99" t="s">
        <v>299</v>
      </c>
      <c r="C9" s="99" t="s">
        <v>300</v>
      </c>
      <c r="D9" s="99" t="s">
        <v>316</v>
      </c>
      <c r="E9" s="99" t="s">
        <v>315</v>
      </c>
      <c r="F9" s="99" t="s">
        <v>317</v>
      </c>
      <c r="G9" s="99" t="s">
        <v>281</v>
      </c>
      <c r="H9" s="99" t="s">
        <v>155</v>
      </c>
      <c r="J9" s="99" t="s">
        <v>298</v>
      </c>
      <c r="K9" s="99" t="s">
        <v>299</v>
      </c>
      <c r="L9" s="99" t="s">
        <v>300</v>
      </c>
      <c r="M9" s="99" t="s">
        <v>316</v>
      </c>
      <c r="N9" s="99" t="s">
        <v>315</v>
      </c>
      <c r="O9" s="99" t="s">
        <v>1102</v>
      </c>
      <c r="P9" s="99" t="s">
        <v>281</v>
      </c>
      <c r="Q9" s="99" t="s">
        <v>155</v>
      </c>
    </row>
    <row r="10" spans="1:17">
      <c r="A10" s="89"/>
      <c r="B10" s="89"/>
      <c r="C10" s="459" t="s">
        <v>301</v>
      </c>
      <c r="D10" s="128">
        <v>207</v>
      </c>
      <c r="E10" s="89"/>
      <c r="F10" s="89"/>
      <c r="G10" s="89"/>
      <c r="H10" s="89"/>
      <c r="J10" s="89"/>
      <c r="K10" s="89"/>
      <c r="L10" s="459" t="s">
        <v>301</v>
      </c>
      <c r="M10" s="128">
        <v>207</v>
      </c>
      <c r="N10" s="89"/>
      <c r="O10" s="89"/>
      <c r="P10" s="89"/>
      <c r="Q10" s="89"/>
    </row>
    <row r="11" spans="1:17">
      <c r="A11" s="89" t="s">
        <v>302</v>
      </c>
      <c r="B11" s="89" t="s">
        <v>303</v>
      </c>
      <c r="C11" s="459">
        <v>3</v>
      </c>
      <c r="D11" s="89">
        <f>C11*D$10</f>
        <v>621</v>
      </c>
      <c r="E11" s="89">
        <f>420+212</f>
        <v>632</v>
      </c>
      <c r="F11" s="89">
        <f>D11-E11</f>
        <v>-11</v>
      </c>
      <c r="G11" s="89"/>
      <c r="H11" s="89">
        <f>F11*G11</f>
        <v>0</v>
      </c>
      <c r="J11" s="89" t="s">
        <v>302</v>
      </c>
      <c r="K11" s="89" t="s">
        <v>303</v>
      </c>
      <c r="L11" s="459">
        <v>3</v>
      </c>
      <c r="M11" s="89">
        <f>L11*M$10</f>
        <v>621</v>
      </c>
      <c r="N11" s="89">
        <v>632</v>
      </c>
      <c r="O11" s="89"/>
      <c r="P11" s="89">
        <v>550</v>
      </c>
      <c r="Q11" s="89">
        <f>O11*P11</f>
        <v>0</v>
      </c>
    </row>
    <row r="12" spans="1:17">
      <c r="A12" s="89" t="s">
        <v>304</v>
      </c>
      <c r="B12" s="89" t="s">
        <v>303</v>
      </c>
      <c r="C12" s="459">
        <v>2</v>
      </c>
      <c r="D12" s="89">
        <f t="shared" ref="D12:D22" si="0">C12*D$10</f>
        <v>414</v>
      </c>
      <c r="E12" s="89">
        <v>420</v>
      </c>
      <c r="F12" s="89">
        <f t="shared" ref="F12:F22" si="1">D12-E12</f>
        <v>-6</v>
      </c>
      <c r="G12" s="89"/>
      <c r="H12" s="89">
        <f t="shared" ref="H12:H22" si="2">F12*G12</f>
        <v>0</v>
      </c>
      <c r="J12" s="89" t="s">
        <v>304</v>
      </c>
      <c r="K12" s="89" t="s">
        <v>303</v>
      </c>
      <c r="L12" s="459">
        <v>2</v>
      </c>
      <c r="M12" s="89">
        <f t="shared" ref="M12:M22" si="3">L12*M$10</f>
        <v>414</v>
      </c>
      <c r="N12" s="89">
        <v>420</v>
      </c>
      <c r="O12" s="89"/>
      <c r="P12" s="89"/>
      <c r="Q12" s="89">
        <f t="shared" ref="Q12:Q22" si="4">O12*P12</f>
        <v>0</v>
      </c>
    </row>
    <row r="13" spans="1:17">
      <c r="A13" s="89" t="s">
        <v>305</v>
      </c>
      <c r="B13" s="89" t="s">
        <v>303</v>
      </c>
      <c r="C13" s="459">
        <v>2</v>
      </c>
      <c r="D13" s="89">
        <f t="shared" si="0"/>
        <v>414</v>
      </c>
      <c r="E13" s="89">
        <v>420</v>
      </c>
      <c r="F13" s="89">
        <f t="shared" si="1"/>
        <v>-6</v>
      </c>
      <c r="G13" s="89"/>
      <c r="H13" s="89">
        <f t="shared" si="2"/>
        <v>0</v>
      </c>
      <c r="J13" s="89" t="s">
        <v>305</v>
      </c>
      <c r="K13" s="89" t="s">
        <v>303</v>
      </c>
      <c r="L13" s="459">
        <v>2</v>
      </c>
      <c r="M13" s="89">
        <f t="shared" si="3"/>
        <v>414</v>
      </c>
      <c r="N13" s="89">
        <v>420</v>
      </c>
      <c r="O13" s="89"/>
      <c r="P13" s="89"/>
      <c r="Q13" s="89">
        <f t="shared" si="4"/>
        <v>0</v>
      </c>
    </row>
    <row r="14" spans="1:17">
      <c r="A14" s="89" t="s">
        <v>306</v>
      </c>
      <c r="B14" s="89" t="s">
        <v>303</v>
      </c>
      <c r="C14" s="459">
        <v>5</v>
      </c>
      <c r="D14" s="89">
        <f t="shared" si="0"/>
        <v>1035</v>
      </c>
      <c r="E14" s="89">
        <f>788+247</f>
        <v>1035</v>
      </c>
      <c r="F14" s="89">
        <f t="shared" si="1"/>
        <v>0</v>
      </c>
      <c r="G14" s="89"/>
      <c r="H14" s="89">
        <f t="shared" si="2"/>
        <v>0</v>
      </c>
      <c r="J14" s="89" t="s">
        <v>306</v>
      </c>
      <c r="K14" s="89" t="s">
        <v>303</v>
      </c>
      <c r="L14" s="459">
        <v>5</v>
      </c>
      <c r="M14" s="89">
        <f t="shared" si="3"/>
        <v>1035</v>
      </c>
      <c r="N14" s="89">
        <v>1035</v>
      </c>
      <c r="O14" s="89"/>
      <c r="P14" s="89">
        <v>600</v>
      </c>
      <c r="Q14" s="89">
        <f t="shared" si="4"/>
        <v>0</v>
      </c>
    </row>
    <row r="15" spans="1:17">
      <c r="A15" s="89" t="s">
        <v>307</v>
      </c>
      <c r="B15" s="89" t="s">
        <v>303</v>
      </c>
      <c r="C15" s="459">
        <v>2</v>
      </c>
      <c r="D15" s="89">
        <f t="shared" si="0"/>
        <v>414</v>
      </c>
      <c r="E15" s="89">
        <f>224+82+76+32</f>
        <v>414</v>
      </c>
      <c r="F15" s="89">
        <f t="shared" si="1"/>
        <v>0</v>
      </c>
      <c r="G15" s="89"/>
      <c r="H15" s="89">
        <f t="shared" si="2"/>
        <v>0</v>
      </c>
      <c r="J15" s="89" t="s">
        <v>307</v>
      </c>
      <c r="K15" s="89" t="s">
        <v>303</v>
      </c>
      <c r="L15" s="459">
        <v>2</v>
      </c>
      <c r="M15" s="89">
        <f t="shared" si="3"/>
        <v>414</v>
      </c>
      <c r="N15" s="89">
        <v>414</v>
      </c>
      <c r="O15" s="89"/>
      <c r="P15" s="89">
        <v>1000</v>
      </c>
      <c r="Q15" s="89">
        <f t="shared" si="4"/>
        <v>0</v>
      </c>
    </row>
    <row r="16" spans="1:17">
      <c r="A16" s="89" t="s">
        <v>308</v>
      </c>
      <c r="B16" s="89" t="s">
        <v>303</v>
      </c>
      <c r="C16" s="459">
        <v>1</v>
      </c>
      <c r="D16" s="89">
        <f t="shared" si="0"/>
        <v>207</v>
      </c>
      <c r="E16" s="89">
        <v>221</v>
      </c>
      <c r="F16" s="89">
        <f t="shared" si="1"/>
        <v>-14</v>
      </c>
      <c r="G16" s="89"/>
      <c r="H16" s="89">
        <f t="shared" si="2"/>
        <v>0</v>
      </c>
      <c r="J16" s="89" t="s">
        <v>308</v>
      </c>
      <c r="K16" s="89" t="s">
        <v>303</v>
      </c>
      <c r="L16" s="459">
        <v>1</v>
      </c>
      <c r="M16" s="89">
        <f t="shared" si="3"/>
        <v>207</v>
      </c>
      <c r="N16" s="89">
        <v>221</v>
      </c>
      <c r="O16" s="89"/>
      <c r="P16" s="89"/>
      <c r="Q16" s="89">
        <f t="shared" si="4"/>
        <v>0</v>
      </c>
    </row>
    <row r="17" spans="1:17">
      <c r="A17" s="89" t="s">
        <v>309</v>
      </c>
      <c r="B17" s="89" t="s">
        <v>303</v>
      </c>
      <c r="C17" s="459">
        <v>1</v>
      </c>
      <c r="D17" s="89">
        <f t="shared" si="0"/>
        <v>207</v>
      </c>
      <c r="E17" s="89">
        <v>243</v>
      </c>
      <c r="F17" s="89">
        <f t="shared" si="1"/>
        <v>-36</v>
      </c>
      <c r="G17" s="89"/>
      <c r="H17" s="89">
        <f t="shared" si="2"/>
        <v>0</v>
      </c>
      <c r="J17" s="89" t="s">
        <v>309</v>
      </c>
      <c r="K17" s="89" t="s">
        <v>303</v>
      </c>
      <c r="L17" s="459">
        <v>1</v>
      </c>
      <c r="M17" s="89">
        <f t="shared" si="3"/>
        <v>207</v>
      </c>
      <c r="N17" s="89">
        <v>243</v>
      </c>
      <c r="O17" s="89"/>
      <c r="P17" s="89"/>
      <c r="Q17" s="89">
        <f t="shared" si="4"/>
        <v>0</v>
      </c>
    </row>
    <row r="18" spans="1:17">
      <c r="A18" s="89" t="s">
        <v>310</v>
      </c>
      <c r="B18" s="89" t="s">
        <v>303</v>
      </c>
      <c r="C18" s="459">
        <v>1</v>
      </c>
      <c r="D18" s="89">
        <f t="shared" si="0"/>
        <v>207</v>
      </c>
      <c r="E18" s="89">
        <f>221+100</f>
        <v>321</v>
      </c>
      <c r="F18" s="89">
        <f t="shared" si="1"/>
        <v>-114</v>
      </c>
      <c r="G18" s="89"/>
      <c r="H18" s="89">
        <f t="shared" si="2"/>
        <v>0</v>
      </c>
      <c r="J18" s="89" t="s">
        <v>310</v>
      </c>
      <c r="K18" s="89" t="s">
        <v>303</v>
      </c>
      <c r="L18" s="459">
        <v>1</v>
      </c>
      <c r="M18" s="89">
        <f t="shared" si="3"/>
        <v>207</v>
      </c>
      <c r="N18" s="89">
        <f>221+100</f>
        <v>321</v>
      </c>
      <c r="O18" s="89"/>
      <c r="P18" s="89"/>
      <c r="Q18" s="89">
        <f t="shared" si="4"/>
        <v>0</v>
      </c>
    </row>
    <row r="19" spans="1:17">
      <c r="A19" s="89" t="s">
        <v>311</v>
      </c>
      <c r="B19" s="89" t="s">
        <v>303</v>
      </c>
      <c r="C19" s="459">
        <v>2</v>
      </c>
      <c r="D19" s="89">
        <f t="shared" si="0"/>
        <v>414</v>
      </c>
      <c r="E19" s="89">
        <v>414</v>
      </c>
      <c r="F19" s="89">
        <f t="shared" si="1"/>
        <v>0</v>
      </c>
      <c r="G19" s="89"/>
      <c r="H19" s="89">
        <f t="shared" si="2"/>
        <v>0</v>
      </c>
      <c r="J19" s="89" t="s">
        <v>311</v>
      </c>
      <c r="K19" s="89" t="s">
        <v>303</v>
      </c>
      <c r="L19" s="459">
        <v>2</v>
      </c>
      <c r="M19" s="89">
        <f t="shared" si="3"/>
        <v>414</v>
      </c>
      <c r="N19" s="89">
        <v>414</v>
      </c>
      <c r="O19" s="89"/>
      <c r="P19" s="89">
        <v>500</v>
      </c>
      <c r="Q19" s="89">
        <f t="shared" si="4"/>
        <v>0</v>
      </c>
    </row>
    <row r="20" spans="1:17">
      <c r="A20" s="89" t="s">
        <v>312</v>
      </c>
      <c r="B20" s="89" t="s">
        <v>303</v>
      </c>
      <c r="C20" s="459">
        <v>2</v>
      </c>
      <c r="D20" s="89">
        <f t="shared" si="0"/>
        <v>414</v>
      </c>
      <c r="E20" s="89">
        <v>699</v>
      </c>
      <c r="F20" s="89">
        <f t="shared" si="1"/>
        <v>-285</v>
      </c>
      <c r="G20" s="89"/>
      <c r="H20" s="89">
        <f t="shared" si="2"/>
        <v>0</v>
      </c>
      <c r="J20" s="89" t="s">
        <v>312</v>
      </c>
      <c r="K20" s="89" t="s">
        <v>303</v>
      </c>
      <c r="L20" s="459">
        <v>2</v>
      </c>
      <c r="M20" s="89">
        <f t="shared" si="3"/>
        <v>414</v>
      </c>
      <c r="N20" s="89">
        <v>699</v>
      </c>
      <c r="O20" s="89"/>
      <c r="P20" s="89">
        <v>400</v>
      </c>
      <c r="Q20" s="89">
        <f t="shared" si="4"/>
        <v>0</v>
      </c>
    </row>
    <row r="21" spans="1:17">
      <c r="A21" s="89" t="s">
        <v>313</v>
      </c>
      <c r="B21" s="89" t="s">
        <v>303</v>
      </c>
      <c r="C21" s="459">
        <v>2</v>
      </c>
      <c r="D21" s="89">
        <f t="shared" si="0"/>
        <v>414</v>
      </c>
      <c r="E21" s="89">
        <v>650</v>
      </c>
      <c r="F21" s="89">
        <f t="shared" si="1"/>
        <v>-236</v>
      </c>
      <c r="G21" s="89"/>
      <c r="H21" s="89">
        <f t="shared" si="2"/>
        <v>0</v>
      </c>
      <c r="J21" s="89" t="s">
        <v>313</v>
      </c>
      <c r="K21" s="89" t="s">
        <v>303</v>
      </c>
      <c r="L21" s="459">
        <v>2</v>
      </c>
      <c r="M21" s="89">
        <f t="shared" si="3"/>
        <v>414</v>
      </c>
      <c r="N21" s="89">
        <v>650</v>
      </c>
      <c r="O21" s="89"/>
      <c r="P21" s="89">
        <v>990</v>
      </c>
      <c r="Q21" s="89">
        <f t="shared" si="4"/>
        <v>0</v>
      </c>
    </row>
    <row r="22" spans="1:17">
      <c r="A22" s="89" t="s">
        <v>314</v>
      </c>
      <c r="B22" s="89" t="s">
        <v>303</v>
      </c>
      <c r="C22" s="459">
        <v>1</v>
      </c>
      <c r="D22" s="89">
        <f t="shared" si="0"/>
        <v>207</v>
      </c>
      <c r="E22" s="89">
        <v>360</v>
      </c>
      <c r="F22" s="89">
        <f t="shared" si="1"/>
        <v>-153</v>
      </c>
      <c r="G22" s="89"/>
      <c r="H22" s="89">
        <f t="shared" si="2"/>
        <v>0</v>
      </c>
      <c r="J22" s="89" t="s">
        <v>314</v>
      </c>
      <c r="K22" s="89" t="s">
        <v>303</v>
      </c>
      <c r="L22" s="459">
        <v>1</v>
      </c>
      <c r="M22" s="89">
        <f t="shared" si="3"/>
        <v>207</v>
      </c>
      <c r="N22" s="89">
        <v>360</v>
      </c>
      <c r="O22" s="89"/>
      <c r="P22" s="89">
        <v>500</v>
      </c>
      <c r="Q22" s="89">
        <f t="shared" si="4"/>
        <v>0</v>
      </c>
    </row>
    <row r="23" spans="1:17">
      <c r="G23" t="s">
        <v>164</v>
      </c>
      <c r="H23">
        <f>SUM(H10:H22)</f>
        <v>0</v>
      </c>
      <c r="P23" t="s">
        <v>164</v>
      </c>
      <c r="Q23">
        <f>SUM(Q10:Q22)</f>
        <v>0</v>
      </c>
    </row>
    <row r="25" spans="1:17">
      <c r="A25" t="s">
        <v>1092</v>
      </c>
    </row>
    <row r="28" spans="1:17">
      <c r="A28" t="s">
        <v>1093</v>
      </c>
      <c r="D28" t="s">
        <v>1094</v>
      </c>
    </row>
    <row r="30" spans="1:17">
      <c r="A30" t="s">
        <v>1095</v>
      </c>
      <c r="D30" t="s">
        <v>1096</v>
      </c>
    </row>
    <row r="31" spans="1:17">
      <c r="D31" t="s">
        <v>1097</v>
      </c>
    </row>
    <row r="32" spans="1:17">
      <c r="D32" t="s">
        <v>1098</v>
      </c>
    </row>
    <row r="33" spans="4:4">
      <c r="D33" t="s">
        <v>1099</v>
      </c>
    </row>
    <row r="34" spans="4:4">
      <c r="D34" t="s">
        <v>1100</v>
      </c>
    </row>
    <row r="35" spans="4:4">
      <c r="D35" t="s">
        <v>1101</v>
      </c>
    </row>
  </sheetData>
  <mergeCells count="1">
    <mergeCell ref="A6:H6"/>
  </mergeCells>
  <pageMargins left="0.7" right="0.2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F18" sqref="F18"/>
    </sheetView>
  </sheetViews>
  <sheetFormatPr defaultRowHeight="15.6"/>
  <cols>
    <col min="2" max="3" width="19.19921875" customWidth="1"/>
    <col min="4" max="4" width="20.3984375" customWidth="1"/>
    <col min="5" max="5" width="13.09765625" customWidth="1"/>
    <col min="6" max="6" width="12.69921875" customWidth="1"/>
    <col min="7" max="7" width="11.09765625" customWidth="1"/>
    <col min="9" max="9" width="11.19921875" customWidth="1"/>
    <col min="12" max="12" width="12.5" customWidth="1"/>
  </cols>
  <sheetData>
    <row r="1" spans="1:13" ht="149.25" customHeight="1">
      <c r="J1" s="542" t="s">
        <v>350</v>
      </c>
      <c r="K1" s="542"/>
      <c r="L1" s="542"/>
      <c r="M1" s="142"/>
    </row>
    <row r="2" spans="1:13">
      <c r="L2" s="96" t="s">
        <v>154</v>
      </c>
    </row>
    <row r="4" spans="1:13">
      <c r="B4" t="s">
        <v>172</v>
      </c>
    </row>
    <row r="5" spans="1:13">
      <c r="A5" s="549" t="s">
        <v>177</v>
      </c>
      <c r="B5" s="549" t="s">
        <v>173</v>
      </c>
      <c r="C5" s="549" t="s">
        <v>176</v>
      </c>
      <c r="D5" s="543" t="s">
        <v>161</v>
      </c>
      <c r="E5" s="543"/>
      <c r="F5" s="543"/>
      <c r="G5" s="89" t="s">
        <v>165</v>
      </c>
      <c r="H5" s="89"/>
      <c r="I5" s="89"/>
      <c r="J5" s="89" t="s">
        <v>163</v>
      </c>
      <c r="K5" s="89"/>
      <c r="L5" s="89"/>
    </row>
    <row r="6" spans="1:13" ht="62.4">
      <c r="A6" s="549"/>
      <c r="B6" s="549"/>
      <c r="C6" s="549"/>
      <c r="D6" s="88" t="s">
        <v>174</v>
      </c>
      <c r="E6" s="88" t="s">
        <v>175</v>
      </c>
      <c r="F6" s="98" t="s">
        <v>171</v>
      </c>
      <c r="G6" s="88" t="s">
        <v>174</v>
      </c>
      <c r="H6" s="88" t="s">
        <v>175</v>
      </c>
      <c r="I6" s="98" t="s">
        <v>171</v>
      </c>
      <c r="J6" s="88" t="s">
        <v>174</v>
      </c>
      <c r="K6" s="88" t="s">
        <v>175</v>
      </c>
      <c r="L6" s="98" t="s">
        <v>171</v>
      </c>
    </row>
    <row r="7" spans="1:13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</row>
    <row r="8" spans="1:13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</row>
  </sheetData>
  <mergeCells count="5">
    <mergeCell ref="J1:L1"/>
    <mergeCell ref="D5:F5"/>
    <mergeCell ref="B5:B6"/>
    <mergeCell ref="C5:C6"/>
    <mergeCell ref="A5:A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08"/>
  <sheetViews>
    <sheetView view="pageBreakPreview" topLeftCell="A46" zoomScale="80" zoomScaleNormal="100" zoomScaleSheetLayoutView="80" workbookViewId="0">
      <selection activeCell="D26" sqref="D26"/>
    </sheetView>
  </sheetViews>
  <sheetFormatPr defaultColWidth="9" defaultRowHeight="16.8"/>
  <cols>
    <col min="1" max="1" width="89.59765625" style="44" customWidth="1"/>
    <col min="2" max="2" width="9.296875" style="74" customWidth="1"/>
    <col min="3" max="3" width="11.19921875" style="44" customWidth="1"/>
    <col min="4" max="4" width="16.8984375" style="44" customWidth="1"/>
    <col min="5" max="5" width="17.5" style="44" customWidth="1"/>
    <col min="6" max="6" width="13.59765625" style="44" customWidth="1"/>
    <col min="7" max="16384" width="9" style="44"/>
  </cols>
  <sheetData>
    <row r="1" spans="1:5" ht="134.25" customHeight="1">
      <c r="C1" s="542" t="s">
        <v>350</v>
      </c>
      <c r="D1" s="542"/>
      <c r="E1" s="542"/>
    </row>
    <row r="2" spans="1:5">
      <c r="E2" s="45" t="s">
        <v>178</v>
      </c>
    </row>
    <row r="3" spans="1:5">
      <c r="A3" s="550"/>
      <c r="B3" s="550"/>
      <c r="C3" s="550"/>
      <c r="D3" s="550"/>
      <c r="E3" s="550"/>
    </row>
    <row r="4" spans="1:5" hidden="1">
      <c r="E4" s="45"/>
    </row>
    <row r="5" spans="1:5" hidden="1">
      <c r="E5" s="45"/>
    </row>
    <row r="6" spans="1:5" ht="20.399999999999999" customHeight="1">
      <c r="A6" s="552" t="s">
        <v>108</v>
      </c>
      <c r="B6" s="552"/>
      <c r="C6" s="552"/>
      <c r="D6" s="552"/>
      <c r="E6" s="132"/>
    </row>
    <row r="7" spans="1:5">
      <c r="A7" s="131"/>
      <c r="B7" s="131"/>
      <c r="C7" s="131"/>
      <c r="D7" s="131"/>
      <c r="E7" s="131"/>
    </row>
    <row r="8" spans="1:5" ht="67.2">
      <c r="A8" s="47" t="s">
        <v>94</v>
      </c>
      <c r="B8" s="46" t="s">
        <v>174</v>
      </c>
      <c r="C8" s="47" t="s">
        <v>319</v>
      </c>
      <c r="D8" s="47" t="s">
        <v>4</v>
      </c>
      <c r="E8" s="50"/>
    </row>
    <row r="9" spans="1:5">
      <c r="A9" s="47"/>
      <c r="B9" s="47"/>
      <c r="C9" s="47"/>
      <c r="D9" s="47">
        <f>B9*C9</f>
        <v>0</v>
      </c>
      <c r="E9" s="51"/>
    </row>
    <row r="10" spans="1:5">
      <c r="A10" s="47"/>
      <c r="B10" s="47"/>
      <c r="C10" s="47"/>
      <c r="D10" s="47"/>
      <c r="E10" s="51"/>
    </row>
    <row r="11" spans="1:5">
      <c r="A11" s="52"/>
      <c r="B11" s="52" t="s">
        <v>6</v>
      </c>
      <c r="C11" s="52" t="s">
        <v>6</v>
      </c>
      <c r="D11" s="52"/>
      <c r="E11" s="51"/>
    </row>
    <row r="12" spans="1:5">
      <c r="A12" s="50"/>
      <c r="B12" s="50"/>
      <c r="C12" s="50"/>
      <c r="D12" s="50"/>
      <c r="E12" s="51"/>
    </row>
    <row r="13" spans="1:5" ht="16.5" customHeight="1">
      <c r="A13" s="551" t="s">
        <v>109</v>
      </c>
      <c r="B13" s="551"/>
      <c r="C13" s="551"/>
      <c r="D13" s="551"/>
      <c r="E13" s="551"/>
    </row>
    <row r="14" spans="1:5" ht="16.5" customHeight="1">
      <c r="A14" s="553" t="s">
        <v>320</v>
      </c>
      <c r="B14" s="553"/>
      <c r="C14" s="553"/>
      <c r="D14" s="553"/>
      <c r="E14" s="553"/>
    </row>
    <row r="15" spans="1:5" ht="84">
      <c r="A15" s="47" t="s">
        <v>94</v>
      </c>
      <c r="B15" s="46" t="s">
        <v>318</v>
      </c>
      <c r="C15" s="46" t="s">
        <v>174</v>
      </c>
      <c r="D15" s="47" t="s">
        <v>319</v>
      </c>
      <c r="E15" s="47" t="s">
        <v>4</v>
      </c>
    </row>
    <row r="16" spans="1:5" ht="25.2" customHeight="1">
      <c r="A16" s="303" t="s">
        <v>157</v>
      </c>
      <c r="B16" s="135">
        <v>1</v>
      </c>
      <c r="C16" s="304">
        <v>12</v>
      </c>
      <c r="D16" s="304">
        <v>2200</v>
      </c>
      <c r="E16" s="305">
        <f>B16*C16*D16</f>
        <v>26400</v>
      </c>
    </row>
    <row r="17" spans="1:5">
      <c r="A17" s="303" t="s">
        <v>156</v>
      </c>
      <c r="B17" s="135">
        <v>1</v>
      </c>
      <c r="C17" s="304">
        <v>12</v>
      </c>
      <c r="D17" s="304">
        <v>500</v>
      </c>
      <c r="E17" s="305">
        <f>B17*C17*D17</f>
        <v>6000</v>
      </c>
    </row>
    <row r="18" spans="1:5">
      <c r="A18" s="303" t="s">
        <v>158</v>
      </c>
      <c r="B18" s="135">
        <v>1</v>
      </c>
      <c r="C18" s="304">
        <v>12</v>
      </c>
      <c r="D18" s="304">
        <v>5500</v>
      </c>
      <c r="E18" s="305">
        <f>B18*C18*D18</f>
        <v>66000</v>
      </c>
    </row>
    <row r="19" spans="1:5">
      <c r="A19" s="303" t="s">
        <v>717</v>
      </c>
      <c r="B19" s="135">
        <v>1</v>
      </c>
      <c r="C19" s="304">
        <v>12</v>
      </c>
      <c r="D19" s="304">
        <v>6000</v>
      </c>
      <c r="E19" s="305">
        <f>B19*C19*D19</f>
        <v>72000</v>
      </c>
    </row>
    <row r="20" spans="1:5">
      <c r="A20" s="303" t="s">
        <v>159</v>
      </c>
      <c r="B20" s="135">
        <v>1</v>
      </c>
      <c r="C20" s="304">
        <v>50</v>
      </c>
      <c r="D20" s="304">
        <v>150</v>
      </c>
      <c r="E20" s="305">
        <f>B20*C20*D20</f>
        <v>7500</v>
      </c>
    </row>
    <row r="21" spans="1:5">
      <c r="A21" s="130"/>
      <c r="B21" s="52"/>
      <c r="C21" s="52"/>
      <c r="D21" s="52"/>
      <c r="E21" s="53">
        <f>SUM(E16:E20)</f>
        <v>177900</v>
      </c>
    </row>
    <row r="22" spans="1:5">
      <c r="A22" s="129"/>
      <c r="B22" s="50"/>
      <c r="C22" s="50"/>
      <c r="D22" s="50"/>
      <c r="E22" s="51"/>
    </row>
    <row r="23" spans="1:5" ht="16.5" customHeight="1">
      <c r="A23" s="551" t="s">
        <v>109</v>
      </c>
      <c r="B23" s="551"/>
      <c r="C23" s="551"/>
      <c r="D23" s="551"/>
      <c r="E23" s="551"/>
    </row>
    <row r="24" spans="1:5" ht="16.5" customHeight="1">
      <c r="A24" s="551" t="s">
        <v>321</v>
      </c>
      <c r="B24" s="551"/>
      <c r="C24" s="551"/>
      <c r="D24" s="551"/>
      <c r="E24" s="551"/>
    </row>
    <row r="25" spans="1:5" ht="84">
      <c r="A25" s="47" t="s">
        <v>94</v>
      </c>
      <c r="B25" s="46" t="s">
        <v>22</v>
      </c>
      <c r="C25" s="46" t="s">
        <v>23</v>
      </c>
      <c r="D25" s="47" t="s">
        <v>21</v>
      </c>
      <c r="E25" s="47" t="s">
        <v>4</v>
      </c>
    </row>
    <row r="26" spans="1:5">
      <c r="A26" s="281" t="s">
        <v>716</v>
      </c>
      <c r="B26" s="47" t="s">
        <v>26</v>
      </c>
      <c r="C26" s="47">
        <f>канализация!N21</f>
        <v>11151</v>
      </c>
      <c r="D26" s="47">
        <f>(канализация!C5+канализация!C6)/2</f>
        <v>88.65</v>
      </c>
      <c r="E26" s="49">
        <f>C26*D26</f>
        <v>988536.15</v>
      </c>
    </row>
    <row r="27" spans="1:5" s="306" customFormat="1" ht="15.6">
      <c r="A27" s="304" t="s">
        <v>718</v>
      </c>
      <c r="B27" s="304" t="s">
        <v>26</v>
      </c>
      <c r="C27" s="304">
        <f>тбо!B18</f>
        <v>332.80000000000007</v>
      </c>
      <c r="D27" s="304">
        <f>552.915</f>
        <v>552.91499999999996</v>
      </c>
      <c r="E27" s="305">
        <f>тбо!D18</f>
        <v>184010.11200000002</v>
      </c>
    </row>
    <row r="28" spans="1:5" hidden="1">
      <c r="A28" s="47"/>
      <c r="B28" s="47" t="s">
        <v>26</v>
      </c>
      <c r="C28" s="47"/>
      <c r="D28" s="47"/>
      <c r="E28" s="49">
        <f t="shared" ref="E28:E30" si="0">C28*D28</f>
        <v>0</v>
      </c>
    </row>
    <row r="29" spans="1:5" hidden="1">
      <c r="A29" s="47"/>
      <c r="B29" s="47" t="s">
        <v>26</v>
      </c>
      <c r="C29" s="47"/>
      <c r="D29" s="47"/>
      <c r="E29" s="49">
        <f t="shared" si="0"/>
        <v>0</v>
      </c>
    </row>
    <row r="30" spans="1:5" hidden="1">
      <c r="A30" s="47"/>
      <c r="B30" s="47"/>
      <c r="C30" s="47"/>
      <c r="D30" s="47"/>
      <c r="E30" s="49">
        <f t="shared" si="0"/>
        <v>0</v>
      </c>
    </row>
    <row r="31" spans="1:5">
      <c r="A31" s="52"/>
      <c r="B31" s="52" t="s">
        <v>6</v>
      </c>
      <c r="C31" s="52" t="s">
        <v>6</v>
      </c>
      <c r="D31" s="52" t="s">
        <v>6</v>
      </c>
      <c r="E31" s="53">
        <f>SUM(E26:E30)</f>
        <v>1172546.2620000001</v>
      </c>
    </row>
    <row r="32" spans="1:5">
      <c r="A32" s="50"/>
      <c r="B32" s="50"/>
      <c r="C32" s="50"/>
      <c r="D32" s="50"/>
      <c r="E32" s="51"/>
    </row>
    <row r="33" spans="1:5" ht="16.5" customHeight="1">
      <c r="A33" s="551" t="s">
        <v>109</v>
      </c>
      <c r="B33" s="551"/>
      <c r="C33" s="551"/>
      <c r="D33" s="551"/>
      <c r="E33" s="129"/>
    </row>
    <row r="34" spans="1:5" ht="16.5" customHeight="1">
      <c r="A34" s="551" t="s">
        <v>322</v>
      </c>
      <c r="B34" s="551"/>
      <c r="C34" s="551"/>
      <c r="D34" s="551"/>
      <c r="E34" s="129"/>
    </row>
    <row r="35" spans="1:5" ht="67.2">
      <c r="A35" s="47" t="s">
        <v>94</v>
      </c>
      <c r="B35" s="46" t="s">
        <v>174</v>
      </c>
      <c r="C35" s="47" t="s">
        <v>319</v>
      </c>
      <c r="D35" s="47" t="s">
        <v>4</v>
      </c>
    </row>
    <row r="36" spans="1:5">
      <c r="A36" s="47"/>
      <c r="B36" s="47"/>
      <c r="C36" s="47"/>
      <c r="D36" s="49">
        <f>B36*C36</f>
        <v>0</v>
      </c>
    </row>
    <row r="37" spans="1:5">
      <c r="A37" s="52"/>
      <c r="B37" s="52" t="s">
        <v>6</v>
      </c>
      <c r="C37" s="52" t="s">
        <v>6</v>
      </c>
      <c r="D37" s="53"/>
    </row>
    <row r="38" spans="1:5">
      <c r="A38" s="50"/>
      <c r="B38" s="50"/>
      <c r="C38" s="50"/>
      <c r="D38" s="51"/>
    </row>
    <row r="39" spans="1:5" ht="16.5" customHeight="1">
      <c r="A39" s="551" t="s">
        <v>109</v>
      </c>
      <c r="B39" s="551"/>
      <c r="C39" s="551"/>
      <c r="D39" s="551"/>
    </row>
    <row r="40" spans="1:5" ht="16.5" customHeight="1">
      <c r="A40" s="553" t="s">
        <v>325</v>
      </c>
      <c r="B40" s="553"/>
      <c r="C40" s="553"/>
      <c r="D40" s="553"/>
    </row>
    <row r="41" spans="1:5" ht="67.2">
      <c r="A41" s="47" t="s">
        <v>94</v>
      </c>
      <c r="B41" s="46" t="s">
        <v>174</v>
      </c>
      <c r="C41" s="47" t="s">
        <v>319</v>
      </c>
      <c r="D41" s="47" t="s">
        <v>4</v>
      </c>
    </row>
    <row r="42" spans="1:5">
      <c r="A42" s="296" t="s">
        <v>719</v>
      </c>
      <c r="B42" s="296">
        <v>5</v>
      </c>
      <c r="C42" s="296">
        <v>5000</v>
      </c>
      <c r="D42" s="296">
        <f t="shared" ref="D42:D55" si="1">B42*C42</f>
        <v>25000</v>
      </c>
    </row>
    <row r="43" spans="1:5">
      <c r="A43" s="307" t="s">
        <v>726</v>
      </c>
      <c r="B43" s="308">
        <v>12</v>
      </c>
      <c r="C43" s="308">
        <v>20000</v>
      </c>
      <c r="D43" s="296">
        <f t="shared" si="1"/>
        <v>240000</v>
      </c>
    </row>
    <row r="44" spans="1:5">
      <c r="A44" s="307" t="s">
        <v>727</v>
      </c>
      <c r="B44" s="308">
        <v>57</v>
      </c>
      <c r="C44" s="308">
        <v>500</v>
      </c>
      <c r="D44" s="296">
        <f>B44*C44</f>
        <v>28500</v>
      </c>
    </row>
    <row r="45" spans="1:5" ht="17.399999999999999" customHeight="1">
      <c r="A45" s="309" t="s">
        <v>720</v>
      </c>
      <c r="B45" s="310">
        <v>0</v>
      </c>
      <c r="C45" s="310">
        <v>5500</v>
      </c>
      <c r="D45" s="296">
        <f t="shared" si="1"/>
        <v>0</v>
      </c>
      <c r="E45" s="44" t="s">
        <v>1052</v>
      </c>
    </row>
    <row r="46" spans="1:5" ht="17.399999999999999" customHeight="1">
      <c r="A46" s="296" t="s">
        <v>721</v>
      </c>
      <c r="B46" s="296">
        <v>0</v>
      </c>
      <c r="C46" s="296">
        <v>20000</v>
      </c>
      <c r="D46" s="296">
        <f t="shared" si="1"/>
        <v>0</v>
      </c>
      <c r="E46" s="44" t="s">
        <v>1052</v>
      </c>
    </row>
    <row r="47" spans="1:5" ht="15.6" customHeight="1">
      <c r="A47" s="311" t="s">
        <v>728</v>
      </c>
      <c r="B47" s="311">
        <v>12</v>
      </c>
      <c r="C47" s="311">
        <v>10000</v>
      </c>
      <c r="D47" s="311">
        <f t="shared" si="1"/>
        <v>120000</v>
      </c>
    </row>
    <row r="48" spans="1:5">
      <c r="A48" s="311" t="s">
        <v>722</v>
      </c>
      <c r="B48" s="311">
        <v>1</v>
      </c>
      <c r="C48" s="311">
        <v>20000</v>
      </c>
      <c r="D48" s="311">
        <f t="shared" si="1"/>
        <v>20000</v>
      </c>
    </row>
    <row r="49" spans="1:4">
      <c r="A49" s="296" t="s">
        <v>723</v>
      </c>
      <c r="B49" s="296">
        <v>50</v>
      </c>
      <c r="C49" s="296">
        <v>450</v>
      </c>
      <c r="D49" s="296">
        <f t="shared" si="1"/>
        <v>22500</v>
      </c>
    </row>
    <row r="50" spans="1:4" ht="16.8" customHeight="1">
      <c r="A50" s="309" t="s">
        <v>724</v>
      </c>
      <c r="B50" s="310">
        <v>4</v>
      </c>
      <c r="C50" s="310">
        <v>10200</v>
      </c>
      <c r="D50" s="312">
        <f t="shared" si="1"/>
        <v>40800</v>
      </c>
    </row>
    <row r="51" spans="1:4" ht="17.399999999999999" customHeight="1">
      <c r="A51" s="307" t="s">
        <v>725</v>
      </c>
      <c r="B51" s="308">
        <v>2</v>
      </c>
      <c r="C51" s="308">
        <v>40000</v>
      </c>
      <c r="D51" s="312">
        <f t="shared" si="1"/>
        <v>80000</v>
      </c>
    </row>
    <row r="52" spans="1:4" s="54" customFormat="1">
      <c r="A52" s="313" t="s">
        <v>729</v>
      </c>
      <c r="B52" s="81">
        <v>12</v>
      </c>
      <c r="C52" s="94">
        <v>10000</v>
      </c>
      <c r="D52" s="94">
        <f t="shared" si="1"/>
        <v>120000</v>
      </c>
    </row>
    <row r="53" spans="1:4" s="54" customFormat="1">
      <c r="A53" s="313" t="s">
        <v>1048</v>
      </c>
      <c r="B53" s="81">
        <v>1</v>
      </c>
      <c r="C53" s="94">
        <v>300000</v>
      </c>
      <c r="D53" s="94">
        <f t="shared" si="1"/>
        <v>300000</v>
      </c>
    </row>
    <row r="54" spans="1:4" s="54" customFormat="1">
      <c r="A54" s="313" t="s">
        <v>965</v>
      </c>
      <c r="B54" s="81">
        <v>1</v>
      </c>
      <c r="C54" s="94">
        <v>30000</v>
      </c>
      <c r="D54" s="94">
        <f t="shared" si="1"/>
        <v>30000</v>
      </c>
    </row>
    <row r="55" spans="1:4" s="54" customFormat="1">
      <c r="A55" s="313" t="s">
        <v>1047</v>
      </c>
      <c r="B55" s="81"/>
      <c r="C55" s="94"/>
      <c r="D55" s="94">
        <f t="shared" si="1"/>
        <v>0</v>
      </c>
    </row>
    <row r="56" spans="1:4">
      <c r="A56" s="52"/>
      <c r="B56" s="52" t="s">
        <v>6</v>
      </c>
      <c r="C56" s="52" t="s">
        <v>6</v>
      </c>
      <c r="D56" s="53">
        <f>SUM(D42:D55)</f>
        <v>1026800</v>
      </c>
    </row>
    <row r="57" spans="1:4">
      <c r="A57" s="50"/>
      <c r="B57" s="50"/>
      <c r="C57" s="50"/>
      <c r="D57" s="51"/>
    </row>
    <row r="58" spans="1:4" ht="67.2">
      <c r="A58" s="301" t="s">
        <v>94</v>
      </c>
      <c r="B58" s="302" t="s">
        <v>174</v>
      </c>
      <c r="C58" s="301" t="s">
        <v>319</v>
      </c>
      <c r="D58" s="301" t="s">
        <v>4</v>
      </c>
    </row>
    <row r="59" spans="1:4" ht="18.600000000000001" customHeight="1">
      <c r="A59" s="307" t="s">
        <v>1010</v>
      </c>
      <c r="B59" s="308">
        <v>5</v>
      </c>
      <c r="C59" s="308">
        <v>45000</v>
      </c>
      <c r="D59" s="315">
        <f>C59*B59</f>
        <v>225000</v>
      </c>
    </row>
    <row r="60" spans="1:4">
      <c r="A60" s="52"/>
      <c r="B60" s="52" t="s">
        <v>6</v>
      </c>
      <c r="C60" s="52" t="s">
        <v>6</v>
      </c>
      <c r="D60" s="53">
        <f>D59</f>
        <v>225000</v>
      </c>
    </row>
    <row r="61" spans="1:4">
      <c r="A61" s="50"/>
      <c r="B61" s="50"/>
      <c r="C61" s="50"/>
      <c r="D61" s="51"/>
    </row>
    <row r="62" spans="1:4">
      <c r="A62" s="50"/>
      <c r="B62" s="50"/>
      <c r="C62" s="50"/>
      <c r="D62" s="51"/>
    </row>
    <row r="63" spans="1:4">
      <c r="A63" s="50"/>
      <c r="B63" s="50"/>
      <c r="C63" s="50"/>
      <c r="D63" s="51"/>
    </row>
    <row r="64" spans="1:4" ht="16.5" customHeight="1">
      <c r="A64" s="551" t="s">
        <v>109</v>
      </c>
      <c r="B64" s="551"/>
      <c r="C64" s="551"/>
      <c r="D64" s="551"/>
    </row>
    <row r="65" spans="1:4" ht="16.5" customHeight="1">
      <c r="A65" s="553" t="s">
        <v>324</v>
      </c>
      <c r="B65" s="553"/>
      <c r="C65" s="553"/>
      <c r="D65" s="553"/>
    </row>
    <row r="66" spans="1:4" ht="67.2">
      <c r="A66" s="47" t="s">
        <v>94</v>
      </c>
      <c r="B66" s="46" t="s">
        <v>174</v>
      </c>
      <c r="C66" s="47" t="s">
        <v>319</v>
      </c>
      <c r="D66" s="47" t="s">
        <v>4</v>
      </c>
    </row>
    <row r="67" spans="1:4" ht="18" customHeight="1">
      <c r="A67" s="296" t="s">
        <v>746</v>
      </c>
      <c r="B67" s="296">
        <v>12</v>
      </c>
      <c r="C67" s="296">
        <v>210000</v>
      </c>
      <c r="D67" s="296">
        <f>B67*C67</f>
        <v>2520000</v>
      </c>
    </row>
    <row r="68" spans="1:4" ht="18.600000000000001" customHeight="1">
      <c r="A68" s="296" t="s">
        <v>730</v>
      </c>
      <c r="B68" s="296">
        <v>1</v>
      </c>
      <c r="C68" s="296">
        <v>25000</v>
      </c>
      <c r="D68" s="296">
        <f t="shared" ref="D68:D90" si="2">B68*C68</f>
        <v>25000</v>
      </c>
    </row>
    <row r="69" spans="1:4" ht="22.2" customHeight="1">
      <c r="A69" s="296" t="s">
        <v>731</v>
      </c>
      <c r="B69" s="296">
        <v>98</v>
      </c>
      <c r="C69" s="296">
        <v>3000</v>
      </c>
      <c r="D69" s="296">
        <f t="shared" si="2"/>
        <v>294000</v>
      </c>
    </row>
    <row r="70" spans="1:4">
      <c r="A70" s="311" t="s">
        <v>732</v>
      </c>
      <c r="B70" s="311">
        <v>4</v>
      </c>
      <c r="C70" s="311">
        <v>25000</v>
      </c>
      <c r="D70" s="311">
        <f t="shared" si="2"/>
        <v>100000</v>
      </c>
    </row>
    <row r="71" spans="1:4">
      <c r="A71" s="311" t="s">
        <v>733</v>
      </c>
      <c r="B71" s="311">
        <v>4</v>
      </c>
      <c r="C71" s="311">
        <v>20000</v>
      </c>
      <c r="D71" s="311">
        <f t="shared" si="2"/>
        <v>80000</v>
      </c>
    </row>
    <row r="72" spans="1:4">
      <c r="A72" s="296" t="s">
        <v>734</v>
      </c>
      <c r="B72" s="296">
        <v>12</v>
      </c>
      <c r="C72" s="296">
        <v>2500</v>
      </c>
      <c r="D72" s="296">
        <f t="shared" si="2"/>
        <v>30000</v>
      </c>
    </row>
    <row r="73" spans="1:4" ht="18" customHeight="1">
      <c r="A73" s="309" t="s">
        <v>747</v>
      </c>
      <c r="B73" s="310">
        <v>12</v>
      </c>
      <c r="C73" s="310">
        <v>6000</v>
      </c>
      <c r="D73" s="312">
        <f t="shared" si="2"/>
        <v>72000</v>
      </c>
    </row>
    <row r="74" spans="1:4" ht="19.8" customHeight="1">
      <c r="A74" s="309" t="s">
        <v>735</v>
      </c>
      <c r="B74" s="310">
        <v>2</v>
      </c>
      <c r="C74" s="310">
        <v>10000</v>
      </c>
      <c r="D74" s="312">
        <f t="shared" si="2"/>
        <v>20000</v>
      </c>
    </row>
    <row r="75" spans="1:4">
      <c r="A75" s="307" t="s">
        <v>736</v>
      </c>
      <c r="B75" s="308">
        <v>1</v>
      </c>
      <c r="C75" s="308">
        <v>50000</v>
      </c>
      <c r="D75" s="312">
        <f t="shared" si="2"/>
        <v>50000</v>
      </c>
    </row>
    <row r="76" spans="1:4" ht="18.600000000000001" customHeight="1">
      <c r="A76" s="307" t="s">
        <v>1009</v>
      </c>
      <c r="B76" s="308"/>
      <c r="C76" s="308">
        <v>500</v>
      </c>
      <c r="D76" s="315">
        <v>250000</v>
      </c>
    </row>
    <row r="77" spans="1:4" ht="17.399999999999999" customHeight="1">
      <c r="A77" s="307" t="s">
        <v>737</v>
      </c>
      <c r="B77" s="308">
        <v>2</v>
      </c>
      <c r="C77" s="308">
        <v>12000</v>
      </c>
      <c r="D77" s="315">
        <f t="shared" si="2"/>
        <v>24000</v>
      </c>
    </row>
    <row r="78" spans="1:4" ht="20.399999999999999" customHeight="1">
      <c r="A78" s="307" t="s">
        <v>738</v>
      </c>
      <c r="B78" s="308">
        <v>1</v>
      </c>
      <c r="C78" s="308">
        <v>60000</v>
      </c>
      <c r="D78" s="315">
        <f t="shared" si="2"/>
        <v>60000</v>
      </c>
    </row>
    <row r="79" spans="1:4" ht="19.2" customHeight="1">
      <c r="A79" s="309" t="s">
        <v>739</v>
      </c>
      <c r="B79" s="310">
        <v>1</v>
      </c>
      <c r="C79" s="310">
        <v>50000</v>
      </c>
      <c r="D79" s="315">
        <f t="shared" si="2"/>
        <v>50000</v>
      </c>
    </row>
    <row r="80" spans="1:4" ht="19.2" customHeight="1">
      <c r="A80" s="309" t="s">
        <v>1057</v>
      </c>
      <c r="B80" s="310"/>
      <c r="C80" s="310"/>
      <c r="D80" s="315">
        <v>100000</v>
      </c>
    </row>
    <row r="81" spans="1:4">
      <c r="A81" s="296" t="s">
        <v>740</v>
      </c>
      <c r="B81" s="296">
        <v>12</v>
      </c>
      <c r="C81" s="296">
        <v>6500</v>
      </c>
      <c r="D81" s="296">
        <f>B81*C81</f>
        <v>78000</v>
      </c>
    </row>
    <row r="82" spans="1:4">
      <c r="A82" s="307" t="s">
        <v>741</v>
      </c>
      <c r="B82" s="308">
        <v>0</v>
      </c>
      <c r="C82" s="308">
        <v>20000</v>
      </c>
      <c r="D82" s="315">
        <f t="shared" si="2"/>
        <v>0</v>
      </c>
    </row>
    <row r="83" spans="1:4" ht="34.799999999999997" customHeight="1">
      <c r="A83" s="307" t="s">
        <v>742</v>
      </c>
      <c r="B83" s="316">
        <v>1</v>
      </c>
      <c r="C83" s="308">
        <v>42000</v>
      </c>
      <c r="D83" s="315">
        <f t="shared" si="2"/>
        <v>42000</v>
      </c>
    </row>
    <row r="84" spans="1:4">
      <c r="A84" s="307" t="s">
        <v>743</v>
      </c>
      <c r="B84" s="316">
        <v>0</v>
      </c>
      <c r="C84" s="308">
        <v>1200</v>
      </c>
      <c r="D84" s="315">
        <f>B84*C84</f>
        <v>0</v>
      </c>
    </row>
    <row r="85" spans="1:4">
      <c r="A85" s="307" t="s">
        <v>744</v>
      </c>
      <c r="B85" s="308">
        <v>0</v>
      </c>
      <c r="C85" s="308">
        <v>600</v>
      </c>
      <c r="D85" s="315">
        <f>B85*C85</f>
        <v>0</v>
      </c>
    </row>
    <row r="86" spans="1:4" ht="16.2" customHeight="1">
      <c r="A86" s="317" t="s">
        <v>745</v>
      </c>
      <c r="B86" s="318">
        <v>4</v>
      </c>
      <c r="C86" s="318">
        <v>10000</v>
      </c>
      <c r="D86" s="315">
        <f t="shared" si="2"/>
        <v>40000</v>
      </c>
    </row>
    <row r="87" spans="1:4" ht="16.2" customHeight="1">
      <c r="A87" s="317" t="s">
        <v>1053</v>
      </c>
      <c r="B87" s="318">
        <v>10</v>
      </c>
      <c r="C87" s="318">
        <v>5000</v>
      </c>
      <c r="D87" s="315">
        <f t="shared" si="2"/>
        <v>50000</v>
      </c>
    </row>
    <row r="88" spans="1:4" ht="16.2" customHeight="1">
      <c r="A88" s="317" t="s">
        <v>1054</v>
      </c>
      <c r="B88" s="318">
        <v>10</v>
      </c>
      <c r="C88" s="318">
        <v>20000</v>
      </c>
      <c r="D88" s="315">
        <f t="shared" si="2"/>
        <v>200000</v>
      </c>
    </row>
    <row r="89" spans="1:4" ht="16.2" customHeight="1">
      <c r="A89" s="317" t="s">
        <v>1055</v>
      </c>
      <c r="B89" s="318">
        <v>1</v>
      </c>
      <c r="C89" s="318">
        <v>40000</v>
      </c>
      <c r="D89" s="315">
        <f t="shared" si="2"/>
        <v>40000</v>
      </c>
    </row>
    <row r="90" spans="1:4" ht="16.2" customHeight="1">
      <c r="A90" s="317" t="s">
        <v>1056</v>
      </c>
      <c r="B90" s="318">
        <v>2</v>
      </c>
      <c r="C90" s="318">
        <v>5000</v>
      </c>
      <c r="D90" s="315">
        <f t="shared" si="2"/>
        <v>10000</v>
      </c>
    </row>
    <row r="91" spans="1:4">
      <c r="A91" s="52"/>
      <c r="B91" s="52" t="s">
        <v>6</v>
      </c>
      <c r="C91" s="52" t="s">
        <v>6</v>
      </c>
      <c r="D91" s="53">
        <f>SUM(D67:D90)</f>
        <v>4135000</v>
      </c>
    </row>
    <row r="92" spans="1:4">
      <c r="A92" s="50"/>
      <c r="B92" s="50"/>
      <c r="C92" s="50"/>
      <c r="D92" s="51"/>
    </row>
    <row r="93" spans="1:4" ht="16.5" customHeight="1">
      <c r="A93" s="129" t="s">
        <v>109</v>
      </c>
      <c r="B93" s="129"/>
      <c r="C93" s="129"/>
      <c r="D93" s="129"/>
    </row>
    <row r="94" spans="1:4" ht="16.5" customHeight="1">
      <c r="A94" s="129" t="s">
        <v>323</v>
      </c>
      <c r="B94" s="129"/>
      <c r="C94" s="129"/>
      <c r="D94" s="129"/>
    </row>
    <row r="95" spans="1:4" ht="67.2">
      <c r="A95" s="47" t="s">
        <v>94</v>
      </c>
      <c r="B95" s="46" t="s">
        <v>174</v>
      </c>
      <c r="C95" s="47" t="s">
        <v>319</v>
      </c>
      <c r="D95" s="47" t="s">
        <v>4</v>
      </c>
    </row>
    <row r="96" spans="1:4" ht="19.8" customHeight="1">
      <c r="A96" s="296" t="s">
        <v>1058</v>
      </c>
      <c r="B96" s="296">
        <v>3</v>
      </c>
      <c r="C96" s="297">
        <v>10000</v>
      </c>
      <c r="D96" s="297">
        <f>B96*C96</f>
        <v>30000</v>
      </c>
    </row>
    <row r="97" spans="1:5" ht="16.2" customHeight="1">
      <c r="A97" s="133" t="s">
        <v>715</v>
      </c>
      <c r="B97" s="297">
        <v>60</v>
      </c>
      <c r="C97" s="133">
        <v>1000</v>
      </c>
      <c r="D97" s="297">
        <f>B97*C97</f>
        <v>60000</v>
      </c>
    </row>
    <row r="98" spans="1:5">
      <c r="A98" s="52" t="s">
        <v>693</v>
      </c>
      <c r="B98" s="52" t="s">
        <v>6</v>
      </c>
      <c r="C98" s="52" t="s">
        <v>6</v>
      </c>
      <c r="D98" s="53">
        <f>D96+D97</f>
        <v>90000</v>
      </c>
    </row>
    <row r="99" spans="1:5">
      <c r="A99" s="50"/>
      <c r="B99" s="50"/>
      <c r="C99" s="50"/>
      <c r="D99" s="50"/>
      <c r="E99" s="51"/>
    </row>
    <row r="100" spans="1:5">
      <c r="A100" s="50"/>
      <c r="B100" s="50"/>
      <c r="C100" s="50"/>
      <c r="D100" s="50"/>
      <c r="E100" s="51"/>
    </row>
    <row r="101" spans="1:5" ht="16.5" customHeight="1">
      <c r="A101" s="553" t="s">
        <v>110</v>
      </c>
      <c r="B101" s="553"/>
      <c r="C101" s="553"/>
      <c r="D101" s="553"/>
      <c r="E101" s="553"/>
    </row>
    <row r="102" spans="1:5" ht="84">
      <c r="A102" s="47" t="s">
        <v>94</v>
      </c>
      <c r="B102" s="46" t="s">
        <v>22</v>
      </c>
      <c r="C102" s="46" t="s">
        <v>23</v>
      </c>
      <c r="D102" s="47" t="s">
        <v>21</v>
      </c>
      <c r="E102" s="47" t="s">
        <v>4</v>
      </c>
    </row>
    <row r="103" spans="1:5" hidden="1">
      <c r="A103" s="47" t="s">
        <v>111</v>
      </c>
      <c r="B103" s="47" t="s">
        <v>25</v>
      </c>
      <c r="C103" s="47"/>
      <c r="D103" s="47"/>
      <c r="E103" s="49"/>
    </row>
    <row r="104" spans="1:5">
      <c r="A104" s="47" t="s">
        <v>112</v>
      </c>
      <c r="B104" s="47" t="s">
        <v>24</v>
      </c>
      <c r="C104" s="47">
        <v>0.62</v>
      </c>
      <c r="D104" s="47">
        <v>5.4</v>
      </c>
      <c r="E104" s="49">
        <f>C104*D104*1000000</f>
        <v>3348000.0000000005</v>
      </c>
    </row>
    <row r="105" spans="1:5">
      <c r="A105" s="52"/>
      <c r="B105" s="52" t="s">
        <v>6</v>
      </c>
      <c r="C105" s="52" t="s">
        <v>6</v>
      </c>
      <c r="D105" s="52" t="s">
        <v>6</v>
      </c>
      <c r="E105" s="53">
        <f>SUM(E103:E104)</f>
        <v>3348000.0000000005</v>
      </c>
    </row>
    <row r="108" spans="1:5">
      <c r="C108" s="54"/>
    </row>
  </sheetData>
  <mergeCells count="14">
    <mergeCell ref="C1:E1"/>
    <mergeCell ref="A3:E3"/>
    <mergeCell ref="A33:D33"/>
    <mergeCell ref="A6:D6"/>
    <mergeCell ref="A101:E101"/>
    <mergeCell ref="A14:E14"/>
    <mergeCell ref="A24:E24"/>
    <mergeCell ref="A34:D34"/>
    <mergeCell ref="A13:E13"/>
    <mergeCell ref="A23:E23"/>
    <mergeCell ref="A39:D39"/>
    <mergeCell ref="A40:D40"/>
    <mergeCell ref="A64:D64"/>
    <mergeCell ref="A65:D65"/>
  </mergeCells>
  <pageMargins left="0.70866141732283472" right="0.70866141732283472" top="0.2" bottom="0.22" header="0.31496062992125984" footer="0.31496062992125984"/>
  <pageSetup paperSize="9" scale="63" orientation="landscape" r:id="rId1"/>
  <rowBreaks count="1" manualBreakCount="1">
    <brk id="3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H405"/>
  <sheetViews>
    <sheetView topLeftCell="A151" workbookViewId="0">
      <selection activeCell="K324" sqref="K324"/>
    </sheetView>
  </sheetViews>
  <sheetFormatPr defaultColWidth="9" defaultRowHeight="16.8"/>
  <cols>
    <col min="1" max="1" width="40.59765625" style="44" customWidth="1"/>
    <col min="2" max="2" width="6.5" style="44" customWidth="1"/>
    <col min="3" max="3" width="12.19921875" style="44" customWidth="1"/>
    <col min="4" max="4" width="14.8984375" style="44" customWidth="1"/>
    <col min="5" max="5" width="15.296875" style="44" customWidth="1"/>
    <col min="6" max="6" width="9.59765625" style="44" customWidth="1"/>
    <col min="7" max="7" width="12.3984375" style="44" customWidth="1"/>
    <col min="8" max="8" width="14.8984375" style="44" customWidth="1"/>
    <col min="9" max="9" width="9" style="44"/>
    <col min="10" max="10" width="12.5" style="44" bestFit="1" customWidth="1"/>
    <col min="11" max="16384" width="9" style="44"/>
  </cols>
  <sheetData>
    <row r="1" spans="1:5" ht="109.5" customHeight="1">
      <c r="C1" s="542" t="s">
        <v>350</v>
      </c>
      <c r="D1" s="542"/>
      <c r="E1" s="542"/>
    </row>
    <row r="2" spans="1:5" ht="77.25" customHeight="1">
      <c r="E2" s="45" t="s">
        <v>355</v>
      </c>
    </row>
    <row r="3" spans="1:5">
      <c r="A3" s="57"/>
      <c r="B3" s="57"/>
      <c r="C3" s="57"/>
      <c r="D3" s="57"/>
      <c r="E3" s="57"/>
    </row>
    <row r="4" spans="1:5">
      <c r="A4" s="554" t="s">
        <v>114</v>
      </c>
      <c r="B4" s="554"/>
      <c r="C4" s="554"/>
      <c r="D4" s="554"/>
      <c r="E4" s="554"/>
    </row>
    <row r="5" spans="1:5" ht="67.2">
      <c r="A5" s="95" t="s">
        <v>117</v>
      </c>
      <c r="B5" s="47" t="s">
        <v>7</v>
      </c>
      <c r="C5" s="47" t="s">
        <v>0</v>
      </c>
      <c r="D5" s="47" t="s">
        <v>1</v>
      </c>
      <c r="E5" s="47" t="s">
        <v>4</v>
      </c>
    </row>
    <row r="6" spans="1:5">
      <c r="A6" s="47"/>
      <c r="B6" s="47"/>
      <c r="C6" s="47"/>
      <c r="D6" s="47"/>
      <c r="E6" s="49">
        <f>D6*C6</f>
        <v>0</v>
      </c>
    </row>
    <row r="7" spans="1:5">
      <c r="A7" s="136"/>
      <c r="B7" s="52" t="s">
        <v>6</v>
      </c>
      <c r="C7" s="52" t="s">
        <v>6</v>
      </c>
      <c r="D7" s="52" t="s">
        <v>6</v>
      </c>
      <c r="E7" s="52"/>
    </row>
    <row r="8" spans="1:5">
      <c r="A8" s="50"/>
      <c r="B8" s="50"/>
      <c r="C8" s="50"/>
      <c r="D8" s="50"/>
      <c r="E8" s="50"/>
    </row>
    <row r="9" spans="1:5" ht="17.25" customHeight="1">
      <c r="A9" s="547" t="s">
        <v>115</v>
      </c>
      <c r="B9" s="547"/>
      <c r="C9" s="547"/>
      <c r="D9" s="547"/>
      <c r="E9" s="547"/>
    </row>
    <row r="10" spans="1:5" ht="17.25" customHeight="1">
      <c r="A10" s="553" t="s">
        <v>326</v>
      </c>
      <c r="B10" s="553"/>
      <c r="C10" s="553"/>
      <c r="D10" s="553"/>
      <c r="E10" s="553"/>
    </row>
    <row r="11" spans="1:5" ht="67.2">
      <c r="A11" s="95" t="s">
        <v>117</v>
      </c>
      <c r="B11" s="47" t="s">
        <v>7</v>
      </c>
      <c r="C11" s="47" t="s">
        <v>0</v>
      </c>
      <c r="D11" s="47" t="s">
        <v>1</v>
      </c>
      <c r="E11" s="47" t="s">
        <v>4</v>
      </c>
    </row>
    <row r="12" spans="1:5" ht="23.4" customHeight="1">
      <c r="A12" s="320" t="s">
        <v>1059</v>
      </c>
      <c r="B12" s="321" t="s">
        <v>751</v>
      </c>
      <c r="C12" s="321">
        <v>98</v>
      </c>
      <c r="D12" s="321">
        <v>2040</v>
      </c>
      <c r="E12" s="321">
        <v>300000</v>
      </c>
    </row>
    <row r="13" spans="1:5" ht="18">
      <c r="A13" s="320" t="s">
        <v>972</v>
      </c>
      <c r="B13" s="321" t="s">
        <v>751</v>
      </c>
      <c r="C13" s="321">
        <v>2</v>
      </c>
      <c r="D13" s="386">
        <v>50000</v>
      </c>
      <c r="E13" s="321">
        <f t="shared" ref="E13:E24" si="0">C13*D13</f>
        <v>100000</v>
      </c>
    </row>
    <row r="14" spans="1:5" ht="15.6" customHeight="1">
      <c r="A14" s="320" t="s">
        <v>1074</v>
      </c>
      <c r="B14" s="321" t="s">
        <v>751</v>
      </c>
      <c r="C14" s="321">
        <v>3</v>
      </c>
      <c r="D14" s="386">
        <v>9680</v>
      </c>
      <c r="E14" s="321">
        <f t="shared" si="0"/>
        <v>29040</v>
      </c>
    </row>
    <row r="15" spans="1:5" ht="18.600000000000001" customHeight="1">
      <c r="A15" s="320" t="s">
        <v>762</v>
      </c>
      <c r="B15" s="321" t="s">
        <v>751</v>
      </c>
      <c r="C15" s="321">
        <v>5</v>
      </c>
      <c r="D15" s="386">
        <v>7600</v>
      </c>
      <c r="E15" s="321">
        <f t="shared" si="0"/>
        <v>38000</v>
      </c>
    </row>
    <row r="16" spans="1:5" ht="19.8" customHeight="1">
      <c r="A16" s="322" t="s">
        <v>769</v>
      </c>
      <c r="B16" s="321" t="s">
        <v>751</v>
      </c>
      <c r="C16" s="323">
        <v>5</v>
      </c>
      <c r="D16" s="401">
        <v>7000</v>
      </c>
      <c r="E16" s="324">
        <f t="shared" si="0"/>
        <v>35000</v>
      </c>
    </row>
    <row r="17" spans="1:5" ht="22.8" customHeight="1">
      <c r="A17" s="322" t="s">
        <v>772</v>
      </c>
      <c r="B17" s="321" t="s">
        <v>751</v>
      </c>
      <c r="C17" s="323">
        <v>2</v>
      </c>
      <c r="D17" s="401">
        <v>2700</v>
      </c>
      <c r="E17" s="324">
        <f t="shared" si="0"/>
        <v>5400</v>
      </c>
    </row>
    <row r="18" spans="1:5" ht="18">
      <c r="A18" s="322" t="s">
        <v>776</v>
      </c>
      <c r="B18" s="321" t="s">
        <v>751</v>
      </c>
      <c r="C18" s="323">
        <v>0</v>
      </c>
      <c r="D18" s="401">
        <v>1500</v>
      </c>
      <c r="E18" s="324">
        <f t="shared" si="0"/>
        <v>0</v>
      </c>
    </row>
    <row r="19" spans="1:5" ht="18">
      <c r="A19" s="322" t="s">
        <v>1005</v>
      </c>
      <c r="B19" s="321"/>
      <c r="C19" s="323">
        <v>0</v>
      </c>
      <c r="D19" s="401">
        <v>5000</v>
      </c>
      <c r="E19" s="324">
        <f t="shared" si="0"/>
        <v>0</v>
      </c>
    </row>
    <row r="20" spans="1:5" ht="18">
      <c r="A20" s="322" t="s">
        <v>1006</v>
      </c>
      <c r="B20" s="321"/>
      <c r="C20" s="323">
        <v>0</v>
      </c>
      <c r="D20" s="401">
        <v>4000</v>
      </c>
      <c r="E20" s="324">
        <f t="shared" si="0"/>
        <v>0</v>
      </c>
    </row>
    <row r="21" spans="1:5" ht="18">
      <c r="A21" s="322" t="s">
        <v>1082</v>
      </c>
      <c r="B21" s="321" t="s">
        <v>751</v>
      </c>
      <c r="C21" s="323">
        <v>10</v>
      </c>
      <c r="D21" s="401">
        <v>2000</v>
      </c>
      <c r="E21" s="324">
        <f t="shared" si="0"/>
        <v>20000</v>
      </c>
    </row>
    <row r="22" spans="1:5" ht="18">
      <c r="A22" s="322" t="s">
        <v>1083</v>
      </c>
      <c r="B22" s="321" t="s">
        <v>751</v>
      </c>
      <c r="C22" s="323">
        <v>5</v>
      </c>
      <c r="D22" s="401">
        <v>4000</v>
      </c>
      <c r="E22" s="324">
        <f t="shared" si="0"/>
        <v>20000</v>
      </c>
    </row>
    <row r="23" spans="1:5" ht="18">
      <c r="A23" s="322" t="s">
        <v>1084</v>
      </c>
      <c r="B23" s="321" t="s">
        <v>751</v>
      </c>
      <c r="C23" s="323">
        <v>10</v>
      </c>
      <c r="D23" s="401">
        <v>1000</v>
      </c>
      <c r="E23" s="324">
        <f t="shared" si="0"/>
        <v>10000</v>
      </c>
    </row>
    <row r="24" spans="1:5" ht="18">
      <c r="A24" s="322" t="s">
        <v>1086</v>
      </c>
      <c r="B24" s="321"/>
      <c r="C24" s="323">
        <v>0</v>
      </c>
      <c r="D24" s="401">
        <v>50000</v>
      </c>
      <c r="E24" s="324">
        <f t="shared" si="0"/>
        <v>0</v>
      </c>
    </row>
    <row r="25" spans="1:5">
      <c r="A25" s="52"/>
      <c r="B25" s="52" t="s">
        <v>6</v>
      </c>
      <c r="C25" s="52" t="s">
        <v>6</v>
      </c>
      <c r="D25" s="53" t="s">
        <v>6</v>
      </c>
      <c r="E25" s="53">
        <f>SUM(E12:E24)</f>
        <v>557440</v>
      </c>
    </row>
    <row r="26" spans="1:5">
      <c r="A26" s="50"/>
      <c r="B26" s="50"/>
      <c r="C26" s="50"/>
      <c r="D26" s="51"/>
      <c r="E26" s="51"/>
    </row>
    <row r="27" spans="1:5">
      <c r="A27" s="547" t="s">
        <v>115</v>
      </c>
      <c r="B27" s="547"/>
      <c r="C27" s="547"/>
      <c r="D27" s="547"/>
      <c r="E27" s="547"/>
    </row>
    <row r="28" spans="1:5">
      <c r="A28" s="551" t="s">
        <v>327</v>
      </c>
      <c r="B28" s="551"/>
      <c r="C28" s="551"/>
      <c r="D28" s="551"/>
      <c r="E28" s="551"/>
    </row>
    <row r="29" spans="1:5" ht="64.8" customHeight="1">
      <c r="A29" s="95" t="s">
        <v>117</v>
      </c>
      <c r="B29" s="47" t="s">
        <v>7</v>
      </c>
      <c r="C29" s="47" t="s">
        <v>0</v>
      </c>
      <c r="D29" s="47" t="s">
        <v>1</v>
      </c>
      <c r="E29" s="47" t="s">
        <v>4</v>
      </c>
    </row>
    <row r="30" spans="1:5" ht="17.399999999999999" customHeight="1">
      <c r="A30" s="327" t="s">
        <v>777</v>
      </c>
      <c r="B30" s="321" t="s">
        <v>751</v>
      </c>
      <c r="C30" s="328">
        <f>2+3+1+4+4+4+2</f>
        <v>20</v>
      </c>
      <c r="D30" s="397">
        <v>85</v>
      </c>
      <c r="E30" s="324">
        <f t="shared" ref="E30:E51" si="1">C30*D30</f>
        <v>1700</v>
      </c>
    </row>
    <row r="31" spans="1:5" ht="16.8" customHeight="1">
      <c r="A31" s="329" t="s">
        <v>778</v>
      </c>
      <c r="B31" s="321" t="s">
        <v>751</v>
      </c>
      <c r="C31" s="330">
        <v>6000</v>
      </c>
      <c r="D31" s="398">
        <v>2</v>
      </c>
      <c r="E31" s="324">
        <f t="shared" si="1"/>
        <v>12000</v>
      </c>
    </row>
    <row r="32" spans="1:5" ht="16.8" customHeight="1">
      <c r="A32" s="329" t="s">
        <v>1063</v>
      </c>
      <c r="B32" s="321" t="s">
        <v>751</v>
      </c>
      <c r="C32" s="331">
        <v>1200</v>
      </c>
      <c r="D32" s="399">
        <v>5</v>
      </c>
      <c r="E32" s="324">
        <f t="shared" si="1"/>
        <v>6000</v>
      </c>
    </row>
    <row r="33" spans="1:5" ht="16.8" customHeight="1">
      <c r="A33" s="329" t="s">
        <v>1064</v>
      </c>
      <c r="B33" s="321" t="s">
        <v>751</v>
      </c>
      <c r="C33" s="331">
        <v>400</v>
      </c>
      <c r="D33" s="399">
        <v>5</v>
      </c>
      <c r="E33" s="324">
        <f t="shared" si="1"/>
        <v>2000</v>
      </c>
    </row>
    <row r="34" spans="1:5" ht="16.8" customHeight="1">
      <c r="A34" s="329" t="s">
        <v>1065</v>
      </c>
      <c r="B34" s="321" t="s">
        <v>751</v>
      </c>
      <c r="C34" s="331">
        <v>200</v>
      </c>
      <c r="D34" s="399">
        <v>7.5</v>
      </c>
      <c r="E34" s="324">
        <f t="shared" si="1"/>
        <v>1500</v>
      </c>
    </row>
    <row r="35" spans="1:5" ht="16.8" customHeight="1">
      <c r="A35" s="329" t="s">
        <v>1066</v>
      </c>
      <c r="B35" s="321" t="s">
        <v>751</v>
      </c>
      <c r="C35" s="331">
        <v>400</v>
      </c>
      <c r="D35" s="399">
        <v>9</v>
      </c>
      <c r="E35" s="324">
        <f t="shared" si="1"/>
        <v>3600</v>
      </c>
    </row>
    <row r="36" spans="1:5" ht="16.8" customHeight="1">
      <c r="A36" s="329" t="s">
        <v>779</v>
      </c>
      <c r="B36" s="321" t="s">
        <v>751</v>
      </c>
      <c r="C36" s="331">
        <v>1</v>
      </c>
      <c r="D36" s="399">
        <v>202.8</v>
      </c>
      <c r="E36" s="324">
        <f t="shared" si="1"/>
        <v>202.8</v>
      </c>
    </row>
    <row r="37" spans="1:5" ht="16.8" customHeight="1">
      <c r="A37" s="329" t="s">
        <v>1070</v>
      </c>
      <c r="B37" s="321" t="s">
        <v>751</v>
      </c>
      <c r="C37" s="332">
        <v>60</v>
      </c>
      <c r="D37" s="400">
        <v>83</v>
      </c>
      <c r="E37" s="324">
        <f t="shared" si="1"/>
        <v>4980</v>
      </c>
    </row>
    <row r="38" spans="1:5" ht="16.8" customHeight="1">
      <c r="A38" s="329" t="s">
        <v>1071</v>
      </c>
      <c r="B38" s="321" t="s">
        <v>751</v>
      </c>
      <c r="C38" s="332">
        <v>100</v>
      </c>
      <c r="D38" s="400">
        <v>86</v>
      </c>
      <c r="E38" s="324">
        <f t="shared" si="1"/>
        <v>8600</v>
      </c>
    </row>
    <row r="39" spans="1:5" ht="16.8" customHeight="1">
      <c r="A39" s="329" t="s">
        <v>780</v>
      </c>
      <c r="B39" s="321" t="s">
        <v>1062</v>
      </c>
      <c r="C39" s="331">
        <f>1+13+1</f>
        <v>15</v>
      </c>
      <c r="D39" s="399">
        <v>200</v>
      </c>
      <c r="E39" s="324">
        <f t="shared" si="1"/>
        <v>3000</v>
      </c>
    </row>
    <row r="40" spans="1:5" ht="16.8" customHeight="1">
      <c r="A40" s="329" t="s">
        <v>1067</v>
      </c>
      <c r="B40" s="321" t="s">
        <v>751</v>
      </c>
      <c r="C40" s="331">
        <f>2+1+1+2+1+50+60+50+50+200+200+100</f>
        <v>717</v>
      </c>
      <c r="D40" s="399">
        <v>103</v>
      </c>
      <c r="E40" s="324">
        <f t="shared" si="1"/>
        <v>73851</v>
      </c>
    </row>
    <row r="41" spans="1:5" ht="16.8" customHeight="1">
      <c r="A41" s="329" t="s">
        <v>781</v>
      </c>
      <c r="B41" s="321" t="s">
        <v>751</v>
      </c>
      <c r="C41" s="331">
        <f>50+150+494+90</f>
        <v>784</v>
      </c>
      <c r="D41" s="399">
        <v>30</v>
      </c>
      <c r="E41" s="324">
        <f t="shared" si="1"/>
        <v>23520</v>
      </c>
    </row>
    <row r="42" spans="1:5" ht="16.8" customHeight="1">
      <c r="A42" s="329" t="s">
        <v>782</v>
      </c>
      <c r="B42" s="321" t="s">
        <v>751</v>
      </c>
      <c r="C42" s="331">
        <f>3+3</f>
        <v>6</v>
      </c>
      <c r="D42" s="399">
        <v>1000</v>
      </c>
      <c r="E42" s="324">
        <f t="shared" si="1"/>
        <v>6000</v>
      </c>
    </row>
    <row r="43" spans="1:5" ht="16.8" customHeight="1">
      <c r="A43" s="329" t="s">
        <v>783</v>
      </c>
      <c r="B43" s="321" t="s">
        <v>751</v>
      </c>
      <c r="C43" s="331">
        <v>8</v>
      </c>
      <c r="D43" s="399">
        <v>68.12</v>
      </c>
      <c r="E43" s="324">
        <f t="shared" si="1"/>
        <v>544.96</v>
      </c>
    </row>
    <row r="44" spans="1:5" ht="16.8" customHeight="1">
      <c r="A44" s="333" t="s">
        <v>784</v>
      </c>
      <c r="B44" s="321" t="s">
        <v>751</v>
      </c>
      <c r="C44" s="328">
        <v>1</v>
      </c>
      <c r="D44" s="398">
        <v>20</v>
      </c>
      <c r="E44" s="324">
        <f t="shared" si="1"/>
        <v>20</v>
      </c>
    </row>
    <row r="45" spans="1:5" ht="16.8" customHeight="1">
      <c r="A45" s="334" t="s">
        <v>785</v>
      </c>
      <c r="B45" s="321" t="s">
        <v>751</v>
      </c>
      <c r="C45" s="332">
        <f>3+1</f>
        <v>4</v>
      </c>
      <c r="D45" s="400">
        <v>200</v>
      </c>
      <c r="E45" s="324">
        <f t="shared" si="1"/>
        <v>800</v>
      </c>
    </row>
    <row r="46" spans="1:5" ht="16.8" customHeight="1">
      <c r="A46" s="329" t="s">
        <v>786</v>
      </c>
      <c r="B46" s="321" t="s">
        <v>751</v>
      </c>
      <c r="C46" s="331">
        <v>15</v>
      </c>
      <c r="D46" s="399">
        <v>2500</v>
      </c>
      <c r="E46" s="324">
        <f t="shared" si="1"/>
        <v>37500</v>
      </c>
    </row>
    <row r="47" spans="1:5" ht="16.8" customHeight="1">
      <c r="A47" s="329" t="s">
        <v>787</v>
      </c>
      <c r="B47" s="321" t="s">
        <v>751</v>
      </c>
      <c r="C47" s="331">
        <v>2000</v>
      </c>
      <c r="D47" s="399">
        <v>7</v>
      </c>
      <c r="E47" s="324">
        <f t="shared" si="1"/>
        <v>14000</v>
      </c>
    </row>
    <row r="48" spans="1:5" ht="16.8" customHeight="1">
      <c r="A48" s="329" t="s">
        <v>788</v>
      </c>
      <c r="B48" s="321" t="s">
        <v>751</v>
      </c>
      <c r="C48" s="331">
        <v>450</v>
      </c>
      <c r="D48" s="399">
        <v>10</v>
      </c>
      <c r="E48" s="324">
        <f t="shared" si="1"/>
        <v>4500</v>
      </c>
    </row>
    <row r="49" spans="1:8" ht="31.8" customHeight="1">
      <c r="A49" s="329" t="s">
        <v>1068</v>
      </c>
      <c r="B49" s="321" t="s">
        <v>751</v>
      </c>
      <c r="C49" s="331">
        <v>450</v>
      </c>
      <c r="D49" s="399">
        <v>10</v>
      </c>
      <c r="E49" s="324">
        <f t="shared" si="1"/>
        <v>4500</v>
      </c>
    </row>
    <row r="50" spans="1:8" ht="16.2" customHeight="1">
      <c r="A50" s="329" t="s">
        <v>1069</v>
      </c>
      <c r="B50" s="321" t="s">
        <v>751</v>
      </c>
      <c r="C50" s="331">
        <v>200</v>
      </c>
      <c r="D50" s="399">
        <v>2.5</v>
      </c>
      <c r="E50" s="324">
        <f t="shared" si="1"/>
        <v>500</v>
      </c>
    </row>
    <row r="51" spans="1:8" ht="16.2" customHeight="1">
      <c r="A51" s="329" t="s">
        <v>1072</v>
      </c>
      <c r="B51" s="321" t="s">
        <v>751</v>
      </c>
      <c r="C51" s="331">
        <v>60</v>
      </c>
      <c r="D51" s="399">
        <v>140</v>
      </c>
      <c r="E51" s="324">
        <f t="shared" si="1"/>
        <v>8400</v>
      </c>
    </row>
    <row r="52" spans="1:8" ht="16.8" customHeight="1">
      <c r="A52" s="329" t="s">
        <v>789</v>
      </c>
      <c r="B52" s="321" t="s">
        <v>751</v>
      </c>
      <c r="C52" s="328">
        <v>3</v>
      </c>
      <c r="D52" s="398">
        <v>1000</v>
      </c>
      <c r="E52" s="324">
        <f>C52*D52+28</f>
        <v>3028</v>
      </c>
    </row>
    <row r="53" spans="1:8" ht="16.8" customHeight="1">
      <c r="A53" s="329" t="s">
        <v>1060</v>
      </c>
      <c r="B53" s="321" t="s">
        <v>751</v>
      </c>
      <c r="C53" s="328">
        <v>6</v>
      </c>
      <c r="D53" s="398">
        <v>11300</v>
      </c>
      <c r="E53" s="324">
        <f>C53*D53+28</f>
        <v>67828</v>
      </c>
    </row>
    <row r="54" spans="1:8" ht="16.8" customHeight="1">
      <c r="A54" s="329" t="s">
        <v>1061</v>
      </c>
      <c r="B54" s="321" t="s">
        <v>751</v>
      </c>
      <c r="C54" s="328">
        <v>24</v>
      </c>
      <c r="D54" s="398">
        <v>2350</v>
      </c>
      <c r="E54" s="324">
        <f>C54*D54+28</f>
        <v>56428</v>
      </c>
    </row>
    <row r="55" spans="1:8" ht="16.8" customHeight="1">
      <c r="A55" s="329" t="s">
        <v>1073</v>
      </c>
      <c r="B55" s="321" t="s">
        <v>1062</v>
      </c>
      <c r="C55" s="328">
        <v>8</v>
      </c>
      <c r="D55" s="398">
        <v>681</v>
      </c>
      <c r="E55" s="324">
        <f>C55*D55+28</f>
        <v>5476</v>
      </c>
    </row>
    <row r="56" spans="1:8">
      <c r="A56" s="52"/>
      <c r="B56" s="52" t="s">
        <v>6</v>
      </c>
      <c r="C56" s="52" t="s">
        <v>6</v>
      </c>
      <c r="D56" s="53" t="s">
        <v>6</v>
      </c>
      <c r="E56" s="53">
        <f>SUM(E30:E53)</f>
        <v>288574.76</v>
      </c>
    </row>
    <row r="57" spans="1:8">
      <c r="A57" s="50"/>
      <c r="B57" s="50"/>
      <c r="C57" s="50"/>
      <c r="D57" s="51"/>
      <c r="E57" s="51"/>
    </row>
    <row r="58" spans="1:8">
      <c r="A58" s="50"/>
      <c r="B58" s="50"/>
      <c r="C58" s="50"/>
      <c r="D58" s="51"/>
      <c r="E58" s="51"/>
    </row>
    <row r="59" spans="1:8">
      <c r="A59" s="547" t="s">
        <v>115</v>
      </c>
      <c r="B59" s="547"/>
      <c r="C59" s="547"/>
      <c r="D59" s="547"/>
      <c r="E59" s="547"/>
    </row>
    <row r="60" spans="1:8">
      <c r="A60" s="551" t="s">
        <v>328</v>
      </c>
      <c r="B60" s="551"/>
      <c r="C60" s="551"/>
      <c r="D60" s="551"/>
      <c r="E60" s="551"/>
    </row>
    <row r="61" spans="1:8" ht="168">
      <c r="A61" s="95" t="s">
        <v>117</v>
      </c>
      <c r="B61" s="47" t="s">
        <v>330</v>
      </c>
      <c r="C61" s="47" t="s">
        <v>329</v>
      </c>
      <c r="D61" s="49" t="s">
        <v>5</v>
      </c>
      <c r="E61" s="51"/>
      <c r="F61" s="301"/>
      <c r="G61" s="301"/>
      <c r="H61" s="49"/>
    </row>
    <row r="62" spans="1:8" s="450" customFormat="1" ht="18">
      <c r="A62" s="446" t="s">
        <v>241</v>
      </c>
      <c r="B62" s="451">
        <v>10</v>
      </c>
      <c r="C62" s="448">
        <v>37</v>
      </c>
      <c r="D62" s="448">
        <f t="shared" ref="D62:D100" si="2">B62/1000*C62</f>
        <v>0.37</v>
      </c>
      <c r="E62" s="449"/>
      <c r="F62" s="451"/>
      <c r="G62" s="448"/>
      <c r="H62" s="448"/>
    </row>
    <row r="63" spans="1:8" s="450" customFormat="1" ht="18">
      <c r="A63" s="446" t="s">
        <v>242</v>
      </c>
      <c r="B63" s="451">
        <v>5</v>
      </c>
      <c r="C63" s="448">
        <v>135</v>
      </c>
      <c r="D63" s="448">
        <f t="shared" si="2"/>
        <v>0.67500000000000004</v>
      </c>
      <c r="E63" s="449"/>
      <c r="F63" s="451"/>
      <c r="G63" s="448"/>
      <c r="H63" s="448"/>
    </row>
    <row r="64" spans="1:8" s="450" customFormat="1" ht="18">
      <c r="A64" s="446" t="s">
        <v>243</v>
      </c>
      <c r="B64" s="451">
        <v>20</v>
      </c>
      <c r="C64" s="448">
        <v>41.3</v>
      </c>
      <c r="D64" s="448">
        <f t="shared" si="2"/>
        <v>0.82599999999999996</v>
      </c>
      <c r="E64" s="449"/>
      <c r="F64" s="451"/>
      <c r="G64" s="448"/>
      <c r="H64" s="448"/>
    </row>
    <row r="65" spans="1:8" s="450" customFormat="1" ht="54">
      <c r="A65" s="446" t="s">
        <v>244</v>
      </c>
      <c r="B65" s="451">
        <v>80</v>
      </c>
      <c r="C65" s="448">
        <v>50</v>
      </c>
      <c r="D65" s="448">
        <f t="shared" si="2"/>
        <v>4</v>
      </c>
      <c r="E65" s="449"/>
      <c r="F65" s="451"/>
      <c r="G65" s="448"/>
      <c r="H65" s="448"/>
    </row>
    <row r="66" spans="1:8" s="450" customFormat="1" ht="18">
      <c r="A66" s="446" t="s">
        <v>245</v>
      </c>
      <c r="B66" s="451">
        <v>300</v>
      </c>
      <c r="C66" s="448">
        <v>25</v>
      </c>
      <c r="D66" s="448">
        <f t="shared" si="2"/>
        <v>7.5</v>
      </c>
      <c r="E66" s="449"/>
      <c r="F66" s="451"/>
      <c r="G66" s="448"/>
      <c r="H66" s="448"/>
    </row>
    <row r="67" spans="1:8" s="450" customFormat="1" ht="18">
      <c r="A67" s="446" t="s">
        <v>246</v>
      </c>
      <c r="B67" s="451">
        <v>366.7</v>
      </c>
      <c r="C67" s="448"/>
      <c r="D67" s="448">
        <f t="shared" si="2"/>
        <v>0</v>
      </c>
      <c r="E67" s="449"/>
      <c r="F67" s="451"/>
      <c r="G67" s="448"/>
      <c r="H67" s="448"/>
    </row>
    <row r="68" spans="1:8" s="450" customFormat="1" ht="18">
      <c r="A68" s="446" t="s">
        <v>247</v>
      </c>
      <c r="B68" s="451">
        <v>65</v>
      </c>
      <c r="C68" s="448">
        <v>40</v>
      </c>
      <c r="D68" s="448">
        <f t="shared" si="2"/>
        <v>2.6</v>
      </c>
      <c r="E68" s="449"/>
      <c r="F68" s="451"/>
      <c r="G68" s="448"/>
      <c r="H68" s="448"/>
    </row>
    <row r="69" spans="1:8" s="450" customFormat="1" ht="18">
      <c r="A69" s="446" t="s">
        <v>248</v>
      </c>
      <c r="B69" s="451">
        <v>70</v>
      </c>
      <c r="C69" s="448">
        <v>40</v>
      </c>
      <c r="D69" s="448">
        <f t="shared" si="2"/>
        <v>2.8000000000000003</v>
      </c>
      <c r="E69" s="449"/>
      <c r="F69" s="451"/>
      <c r="G69" s="448"/>
      <c r="H69" s="448"/>
    </row>
    <row r="70" spans="1:8" s="450" customFormat="1" ht="18">
      <c r="A70" s="446" t="s">
        <v>249</v>
      </c>
      <c r="B70" s="451">
        <v>187.5</v>
      </c>
      <c r="C70" s="448">
        <v>35</v>
      </c>
      <c r="D70" s="448">
        <f t="shared" si="2"/>
        <v>6.5625</v>
      </c>
      <c r="E70" s="449"/>
      <c r="F70" s="451"/>
      <c r="G70" s="448"/>
      <c r="H70" s="448"/>
    </row>
    <row r="71" spans="1:8" s="450" customFormat="1" ht="18">
      <c r="A71" s="446" t="s">
        <v>250</v>
      </c>
      <c r="B71" s="451">
        <v>24</v>
      </c>
      <c r="C71" s="448">
        <v>50</v>
      </c>
      <c r="D71" s="448">
        <f t="shared" si="2"/>
        <v>1.2</v>
      </c>
      <c r="E71" s="449"/>
      <c r="F71" s="451"/>
      <c r="G71" s="448"/>
      <c r="H71" s="448"/>
    </row>
    <row r="72" spans="1:8" s="450" customFormat="1" ht="18">
      <c r="A72" s="446" t="s">
        <v>251</v>
      </c>
      <c r="B72" s="451">
        <v>15.2</v>
      </c>
      <c r="C72" s="448">
        <v>200</v>
      </c>
      <c r="D72" s="448">
        <f t="shared" si="2"/>
        <v>3.04</v>
      </c>
      <c r="E72" s="449"/>
      <c r="F72" s="451"/>
      <c r="G72" s="448"/>
      <c r="H72" s="448"/>
    </row>
    <row r="73" spans="1:8" s="450" customFormat="1" ht="72">
      <c r="A73" s="446" t="s">
        <v>252</v>
      </c>
      <c r="B73" s="451">
        <v>62.5</v>
      </c>
      <c r="C73" s="448">
        <v>180</v>
      </c>
      <c r="D73" s="448">
        <f t="shared" si="2"/>
        <v>11.25</v>
      </c>
      <c r="E73" s="449"/>
      <c r="F73" s="451"/>
      <c r="G73" s="448"/>
      <c r="H73" s="448"/>
    </row>
    <row r="74" spans="1:8" s="450" customFormat="1" ht="36">
      <c r="A74" s="446" t="s">
        <v>253</v>
      </c>
      <c r="B74" s="451">
        <v>18.8</v>
      </c>
      <c r="C74" s="448">
        <v>130</v>
      </c>
      <c r="D74" s="448">
        <f t="shared" si="2"/>
        <v>2.444</v>
      </c>
      <c r="E74" s="449"/>
      <c r="F74" s="451"/>
      <c r="G74" s="448"/>
      <c r="H74" s="448"/>
    </row>
    <row r="75" spans="1:8" s="450" customFormat="1" ht="18">
      <c r="A75" s="446" t="s">
        <v>254</v>
      </c>
      <c r="B75" s="451">
        <v>20</v>
      </c>
      <c r="C75" s="448">
        <v>150</v>
      </c>
      <c r="D75" s="448">
        <f t="shared" si="2"/>
        <v>3</v>
      </c>
      <c r="E75" s="449"/>
      <c r="F75" s="451"/>
      <c r="G75" s="448"/>
      <c r="H75" s="448"/>
    </row>
    <row r="76" spans="1:8" s="450" customFormat="1" ht="36">
      <c r="A76" s="446" t="s">
        <v>255</v>
      </c>
      <c r="B76" s="451">
        <v>38</v>
      </c>
      <c r="C76" s="448">
        <v>150</v>
      </c>
      <c r="D76" s="448">
        <f t="shared" si="2"/>
        <v>5.7</v>
      </c>
      <c r="E76" s="449"/>
      <c r="F76" s="451"/>
      <c r="G76" s="448"/>
      <c r="H76" s="448"/>
    </row>
    <row r="77" spans="1:8" s="450" customFormat="1" ht="18">
      <c r="A77" s="446" t="s">
        <v>256</v>
      </c>
      <c r="B77" s="451">
        <v>150</v>
      </c>
      <c r="C77" s="448">
        <v>190</v>
      </c>
      <c r="D77" s="448">
        <f t="shared" si="2"/>
        <v>28.5</v>
      </c>
      <c r="E77" s="449"/>
      <c r="F77" s="451"/>
      <c r="G77" s="448"/>
      <c r="H77" s="448"/>
    </row>
    <row r="78" spans="1:8" s="450" customFormat="1" ht="36">
      <c r="A78" s="446" t="s">
        <v>257</v>
      </c>
      <c r="B78" s="451">
        <v>20.399999999999999</v>
      </c>
      <c r="C78" s="448">
        <v>150</v>
      </c>
      <c r="D78" s="448">
        <f t="shared" si="2"/>
        <v>3.0599999999999996</v>
      </c>
      <c r="E78" s="449"/>
      <c r="F78" s="451"/>
      <c r="G78" s="448"/>
      <c r="H78" s="448"/>
    </row>
    <row r="79" spans="1:8" ht="18">
      <c r="A79" s="335" t="s">
        <v>258</v>
      </c>
      <c r="B79" s="323">
        <v>100</v>
      </c>
      <c r="C79" s="448">
        <v>100</v>
      </c>
      <c r="D79" s="336">
        <f t="shared" si="2"/>
        <v>10</v>
      </c>
      <c r="E79" s="51"/>
      <c r="F79" s="323"/>
      <c r="G79" s="448"/>
      <c r="H79" s="336"/>
    </row>
    <row r="80" spans="1:8" ht="18">
      <c r="A80" s="335" t="s">
        <v>259</v>
      </c>
      <c r="B80" s="323">
        <v>127.7</v>
      </c>
      <c r="C80" s="336">
        <v>350</v>
      </c>
      <c r="D80" s="336">
        <f t="shared" si="2"/>
        <v>44.695</v>
      </c>
      <c r="E80" s="51"/>
      <c r="F80" s="323"/>
      <c r="G80" s="336"/>
      <c r="H80" s="336"/>
    </row>
    <row r="81" spans="1:8" ht="18">
      <c r="A81" s="335" t="s">
        <v>260</v>
      </c>
      <c r="B81" s="323">
        <v>25</v>
      </c>
      <c r="C81" s="336">
        <v>250</v>
      </c>
      <c r="D81" s="336">
        <f t="shared" si="2"/>
        <v>6.25</v>
      </c>
      <c r="E81" s="51"/>
      <c r="F81" s="323"/>
      <c r="G81" s="336"/>
      <c r="H81" s="336"/>
    </row>
    <row r="82" spans="1:8" ht="18">
      <c r="A82" s="335" t="s">
        <v>261</v>
      </c>
      <c r="B82" s="323">
        <v>12</v>
      </c>
      <c r="C82" s="336">
        <v>410</v>
      </c>
      <c r="D82" s="336">
        <f t="shared" si="2"/>
        <v>4.92</v>
      </c>
      <c r="E82" s="51"/>
      <c r="F82" s="323"/>
      <c r="G82" s="336"/>
      <c r="H82" s="336"/>
    </row>
    <row r="83" spans="1:8" ht="36">
      <c r="A83" s="335" t="s">
        <v>262</v>
      </c>
      <c r="B83" s="323">
        <v>59.1</v>
      </c>
      <c r="C83" s="336">
        <v>250</v>
      </c>
      <c r="D83" s="336">
        <f t="shared" si="2"/>
        <v>14.775</v>
      </c>
      <c r="E83" s="51"/>
      <c r="F83" s="323"/>
      <c r="G83" s="336"/>
      <c r="H83" s="336"/>
    </row>
    <row r="84" spans="1:8" ht="18">
      <c r="A84" s="335" t="s">
        <v>263</v>
      </c>
      <c r="B84" s="323">
        <v>20.399999999999999</v>
      </c>
      <c r="C84" s="336">
        <v>365</v>
      </c>
      <c r="D84" s="336">
        <f t="shared" si="2"/>
        <v>7.4459999999999988</v>
      </c>
      <c r="E84" s="51"/>
      <c r="F84" s="323"/>
      <c r="G84" s="336"/>
      <c r="H84" s="336"/>
    </row>
    <row r="85" spans="1:8" ht="18">
      <c r="A85" s="335" t="s">
        <v>264</v>
      </c>
      <c r="B85" s="323">
        <v>16</v>
      </c>
      <c r="C85" s="336">
        <v>350</v>
      </c>
      <c r="D85" s="336">
        <f t="shared" si="2"/>
        <v>5.6000000000000005</v>
      </c>
      <c r="E85" s="51"/>
      <c r="F85" s="323"/>
      <c r="G85" s="336"/>
      <c r="H85" s="336"/>
    </row>
    <row r="86" spans="1:8" s="450" customFormat="1" ht="18">
      <c r="A86" s="446" t="s">
        <v>284</v>
      </c>
      <c r="B86" s="447">
        <v>0.5</v>
      </c>
      <c r="C86" s="448">
        <v>107.3</v>
      </c>
      <c r="D86" s="448">
        <f>B86/10*C86</f>
        <v>5.3650000000000002</v>
      </c>
      <c r="E86" s="449"/>
      <c r="F86" s="447"/>
      <c r="G86" s="448"/>
      <c r="H86" s="448"/>
    </row>
    <row r="87" spans="1:8" ht="54">
      <c r="A87" s="335" t="s">
        <v>265</v>
      </c>
      <c r="B87" s="323">
        <v>125</v>
      </c>
      <c r="C87" s="336">
        <v>180</v>
      </c>
      <c r="D87" s="336">
        <f t="shared" si="2"/>
        <v>22.5</v>
      </c>
      <c r="E87" s="51"/>
      <c r="F87" s="323"/>
      <c r="G87" s="336"/>
      <c r="H87" s="336"/>
    </row>
    <row r="88" spans="1:8" ht="18">
      <c r="A88" s="335" t="s">
        <v>266</v>
      </c>
      <c r="B88" s="323">
        <v>211</v>
      </c>
      <c r="C88" s="336">
        <v>90</v>
      </c>
      <c r="D88" s="336">
        <f t="shared" si="2"/>
        <v>18.989999999999998</v>
      </c>
      <c r="E88" s="51"/>
      <c r="F88" s="323"/>
      <c r="G88" s="336"/>
      <c r="H88" s="336"/>
    </row>
    <row r="89" spans="1:8" ht="18">
      <c r="A89" s="335" t="s">
        <v>267</v>
      </c>
      <c r="B89" s="323">
        <v>20</v>
      </c>
      <c r="C89" s="336">
        <v>850</v>
      </c>
      <c r="D89" s="336">
        <f t="shared" si="2"/>
        <v>17</v>
      </c>
      <c r="E89" s="51"/>
      <c r="F89" s="323"/>
      <c r="G89" s="336"/>
      <c r="H89" s="336"/>
    </row>
    <row r="90" spans="1:8" ht="18">
      <c r="A90" s="335" t="s">
        <v>268</v>
      </c>
      <c r="B90" s="323">
        <v>20</v>
      </c>
      <c r="C90" s="336">
        <v>100</v>
      </c>
      <c r="D90" s="336">
        <f t="shared" si="2"/>
        <v>2</v>
      </c>
      <c r="E90" s="51"/>
      <c r="F90" s="323"/>
      <c r="G90" s="336"/>
      <c r="H90" s="336"/>
    </row>
    <row r="91" spans="1:8" ht="18">
      <c r="A91" s="335" t="s">
        <v>269</v>
      </c>
      <c r="B91" s="323">
        <v>15</v>
      </c>
      <c r="C91" s="336">
        <v>380</v>
      </c>
      <c r="D91" s="336">
        <f t="shared" si="2"/>
        <v>5.7</v>
      </c>
      <c r="E91" s="51"/>
      <c r="F91" s="323"/>
      <c r="G91" s="336"/>
      <c r="H91" s="336"/>
    </row>
    <row r="92" spans="1:8" ht="36">
      <c r="A92" s="335" t="s">
        <v>270</v>
      </c>
      <c r="B92" s="323">
        <v>50</v>
      </c>
      <c r="C92" s="336">
        <v>220</v>
      </c>
      <c r="D92" s="336">
        <f t="shared" si="2"/>
        <v>11</v>
      </c>
      <c r="E92" s="51"/>
      <c r="F92" s="323"/>
      <c r="G92" s="336"/>
      <c r="H92" s="336"/>
    </row>
    <row r="93" spans="1:8" ht="18">
      <c r="A93" s="335" t="s">
        <v>271</v>
      </c>
      <c r="B93" s="323">
        <v>2</v>
      </c>
      <c r="C93" s="336">
        <v>385</v>
      </c>
      <c r="D93" s="336">
        <f t="shared" si="2"/>
        <v>0.77</v>
      </c>
      <c r="E93" s="51"/>
      <c r="F93" s="323"/>
      <c r="G93" s="336"/>
      <c r="H93" s="336"/>
    </row>
    <row r="94" spans="1:8" ht="18">
      <c r="A94" s="335" t="s">
        <v>272</v>
      </c>
      <c r="B94" s="323">
        <v>1.4</v>
      </c>
      <c r="C94" s="336">
        <v>313</v>
      </c>
      <c r="D94" s="336">
        <f t="shared" si="2"/>
        <v>0.43819999999999998</v>
      </c>
      <c r="E94" s="51"/>
      <c r="F94" s="323"/>
      <c r="G94" s="336"/>
      <c r="H94" s="336"/>
    </row>
    <row r="95" spans="1:8" ht="18">
      <c r="A95" s="335" t="s">
        <v>273</v>
      </c>
      <c r="B95" s="323">
        <v>0.5</v>
      </c>
      <c r="C95" s="336"/>
      <c r="D95" s="336">
        <f t="shared" si="2"/>
        <v>0</v>
      </c>
      <c r="E95" s="51"/>
      <c r="F95" s="323"/>
      <c r="G95" s="336"/>
      <c r="H95" s="336"/>
    </row>
    <row r="96" spans="1:8" ht="18">
      <c r="A96" s="335" t="s">
        <v>274</v>
      </c>
      <c r="B96" s="323">
        <v>0.25</v>
      </c>
      <c r="C96" s="336">
        <v>312</v>
      </c>
      <c r="D96" s="336">
        <f t="shared" si="2"/>
        <v>7.8E-2</v>
      </c>
      <c r="E96" s="51"/>
      <c r="F96" s="323"/>
      <c r="G96" s="336"/>
      <c r="H96" s="336"/>
    </row>
    <row r="97" spans="1:8" ht="18">
      <c r="A97" s="335" t="s">
        <v>275</v>
      </c>
      <c r="B97" s="323">
        <v>6</v>
      </c>
      <c r="C97" s="336">
        <v>15</v>
      </c>
      <c r="D97" s="336">
        <f t="shared" si="2"/>
        <v>0.09</v>
      </c>
      <c r="E97" s="51"/>
      <c r="F97" s="323"/>
      <c r="G97" s="336"/>
      <c r="H97" s="336"/>
    </row>
    <row r="98" spans="1:8" ht="18">
      <c r="A98" s="335" t="s">
        <v>276</v>
      </c>
      <c r="B98" s="323">
        <v>3</v>
      </c>
      <c r="C98" s="336">
        <v>140</v>
      </c>
      <c r="D98" s="336">
        <f t="shared" si="2"/>
        <v>0.42</v>
      </c>
      <c r="E98" s="51"/>
      <c r="F98" s="323"/>
      <c r="G98" s="336"/>
      <c r="H98" s="336"/>
    </row>
    <row r="99" spans="1:8" ht="18">
      <c r="A99" s="335" t="s">
        <v>277</v>
      </c>
      <c r="B99" s="323">
        <v>15</v>
      </c>
      <c r="C99" s="336">
        <v>150</v>
      </c>
      <c r="D99" s="336">
        <f t="shared" si="2"/>
        <v>2.25</v>
      </c>
      <c r="E99" s="51"/>
      <c r="F99" s="323"/>
      <c r="G99" s="336"/>
      <c r="H99" s="336"/>
    </row>
    <row r="100" spans="1:8" ht="36">
      <c r="A100" s="335" t="s">
        <v>280</v>
      </c>
      <c r="B100" s="402">
        <v>2.08</v>
      </c>
      <c r="C100" s="336">
        <v>0</v>
      </c>
      <c r="D100" s="336">
        <f t="shared" si="2"/>
        <v>0</v>
      </c>
      <c r="E100" s="51"/>
      <c r="F100" s="402"/>
      <c r="G100" s="336"/>
      <c r="H100" s="336"/>
    </row>
    <row r="101" spans="1:8" ht="34.799999999999997">
      <c r="A101" s="338" t="s">
        <v>285</v>
      </c>
      <c r="B101" s="339" t="s">
        <v>6</v>
      </c>
      <c r="C101" s="339" t="s">
        <v>6</v>
      </c>
      <c r="D101" s="340">
        <f>SUM(D61:D100)</f>
        <v>263.81469999999996</v>
      </c>
      <c r="E101" s="51"/>
      <c r="F101" s="339"/>
      <c r="G101" s="339"/>
      <c r="H101" s="340"/>
    </row>
    <row r="102" spans="1:8" ht="18">
      <c r="A102" s="341"/>
      <c r="B102" s="342"/>
      <c r="C102" s="343"/>
      <c r="D102" s="343"/>
      <c r="E102" s="51"/>
      <c r="F102" s="342"/>
      <c r="G102" s="343"/>
      <c r="H102" s="343"/>
    </row>
    <row r="103" spans="1:8" ht="18">
      <c r="A103" s="341" t="s">
        <v>286</v>
      </c>
      <c r="B103" s="342"/>
      <c r="C103" s="343"/>
      <c r="D103" s="343">
        <v>75141</v>
      </c>
      <c r="E103" s="51"/>
      <c r="F103" s="342"/>
      <c r="G103" s="343"/>
      <c r="H103" s="343"/>
    </row>
    <row r="104" spans="1:8" ht="18">
      <c r="A104" s="341"/>
      <c r="B104" s="342"/>
      <c r="C104" s="343"/>
      <c r="D104" s="343"/>
      <c r="E104" s="51"/>
      <c r="F104" s="342"/>
      <c r="G104" s="343"/>
      <c r="H104" s="343"/>
    </row>
    <row r="105" spans="1:8" ht="36">
      <c r="A105" s="341" t="s">
        <v>287</v>
      </c>
      <c r="B105" s="342"/>
      <c r="C105" s="343"/>
      <c r="D105" s="344">
        <f>D101*D103/1000</f>
        <v>19823.3003727</v>
      </c>
      <c r="E105" s="51"/>
      <c r="F105" s="342"/>
      <c r="G105" s="343"/>
      <c r="H105" s="344"/>
    </row>
    <row r="106" spans="1:8">
      <c r="A106" s="52" t="s">
        <v>89</v>
      </c>
      <c r="B106" s="52" t="s">
        <v>6</v>
      </c>
      <c r="C106" s="52" t="s">
        <v>6</v>
      </c>
      <c r="D106" s="53">
        <f>D105*1000-2748838.54</f>
        <v>17074461.832699999</v>
      </c>
      <c r="E106" s="452">
        <v>2748838.54</v>
      </c>
      <c r="F106" s="52"/>
      <c r="G106" s="52"/>
      <c r="H106" s="53"/>
    </row>
    <row r="107" spans="1:8">
      <c r="A107" s="50"/>
      <c r="B107" s="50"/>
      <c r="C107" s="50"/>
      <c r="D107" s="51"/>
      <c r="E107" s="51"/>
    </row>
    <row r="108" spans="1:8">
      <c r="A108" s="50"/>
      <c r="B108" s="50"/>
      <c r="C108" s="50"/>
      <c r="D108" s="51"/>
      <c r="E108" s="51"/>
    </row>
    <row r="109" spans="1:8">
      <c r="A109" s="547" t="s">
        <v>115</v>
      </c>
      <c r="B109" s="547"/>
      <c r="C109" s="547"/>
      <c r="D109" s="547"/>
      <c r="E109" s="547"/>
      <c r="G109" s="442"/>
    </row>
    <row r="110" spans="1:8">
      <c r="A110" s="551" t="s">
        <v>331</v>
      </c>
      <c r="B110" s="551"/>
      <c r="C110" s="551"/>
      <c r="D110" s="551"/>
      <c r="E110" s="551"/>
    </row>
    <row r="111" spans="1:8" ht="67.2">
      <c r="A111" s="47" t="s">
        <v>332</v>
      </c>
      <c r="B111" s="47" t="s">
        <v>335</v>
      </c>
      <c r="C111" s="47" t="s">
        <v>333</v>
      </c>
      <c r="D111" s="49" t="s">
        <v>334</v>
      </c>
      <c r="E111" s="49" t="s">
        <v>5</v>
      </c>
    </row>
    <row r="112" spans="1:8" ht="36">
      <c r="A112" s="321" t="s">
        <v>793</v>
      </c>
      <c r="B112" s="321" t="s">
        <v>963</v>
      </c>
      <c r="C112" s="386">
        <v>3000</v>
      </c>
      <c r="D112" s="345">
        <v>62.11</v>
      </c>
      <c r="E112" s="345">
        <f>D112*C112</f>
        <v>186330</v>
      </c>
    </row>
    <row r="113" spans="1:5" ht="18">
      <c r="A113" s="321" t="s">
        <v>1085</v>
      </c>
      <c r="B113" s="321" t="s">
        <v>964</v>
      </c>
      <c r="C113" s="386">
        <v>3450</v>
      </c>
      <c r="D113" s="345">
        <v>71.44</v>
      </c>
      <c r="E113" s="345">
        <f>D113*C113</f>
        <v>246468</v>
      </c>
    </row>
    <row r="114" spans="1:5" ht="18">
      <c r="A114" s="321" t="s">
        <v>792</v>
      </c>
      <c r="B114" s="321" t="s">
        <v>964</v>
      </c>
      <c r="C114" s="386">
        <v>1500</v>
      </c>
      <c r="D114" s="345">
        <v>71.44</v>
      </c>
      <c r="E114" s="345">
        <f>D114*C114</f>
        <v>107160</v>
      </c>
    </row>
    <row r="115" spans="1:5" ht="36">
      <c r="A115" s="321"/>
      <c r="B115" s="321" t="s">
        <v>791</v>
      </c>
      <c r="C115" s="386">
        <v>400</v>
      </c>
      <c r="D115" s="345">
        <v>100</v>
      </c>
      <c r="E115" s="345">
        <v>40000</v>
      </c>
    </row>
    <row r="116" spans="1:5">
      <c r="A116" s="52" t="s">
        <v>89</v>
      </c>
      <c r="B116" s="52" t="s">
        <v>6</v>
      </c>
      <c r="C116" s="52" t="s">
        <v>6</v>
      </c>
      <c r="D116" s="53" t="s">
        <v>6</v>
      </c>
      <c r="E116" s="53">
        <f>SUM(E112:E115)</f>
        <v>579958</v>
      </c>
    </row>
    <row r="117" spans="1:5">
      <c r="A117" s="50"/>
      <c r="B117" s="50"/>
      <c r="C117" s="50"/>
      <c r="D117" s="51"/>
      <c r="E117" s="51"/>
    </row>
    <row r="118" spans="1:5" ht="17.399999999999999">
      <c r="A118" s="555" t="s">
        <v>115</v>
      </c>
      <c r="B118" s="555"/>
      <c r="C118" s="555"/>
      <c r="D118" s="555"/>
      <c r="E118" s="555"/>
    </row>
    <row r="119" spans="1:5" ht="18">
      <c r="A119" s="556" t="s">
        <v>430</v>
      </c>
      <c r="B119" s="556"/>
      <c r="C119" s="556"/>
      <c r="D119" s="556"/>
      <c r="E119" s="556"/>
    </row>
    <row r="120" spans="1:5" ht="54">
      <c r="A120" s="321"/>
      <c r="B120" s="321" t="s">
        <v>794</v>
      </c>
      <c r="C120" s="321" t="s">
        <v>333</v>
      </c>
      <c r="D120" s="345" t="s">
        <v>334</v>
      </c>
      <c r="E120" s="345" t="s">
        <v>5</v>
      </c>
    </row>
    <row r="121" spans="1:5" ht="18">
      <c r="A121" s="321"/>
      <c r="B121" s="321" t="s">
        <v>795</v>
      </c>
      <c r="C121" s="321">
        <v>700</v>
      </c>
      <c r="D121" s="345">
        <v>4451.28</v>
      </c>
      <c r="E121" s="345">
        <f>D121*C121</f>
        <v>3115896</v>
      </c>
    </row>
    <row r="122" spans="1:5" ht="18">
      <c r="A122" s="325" t="s">
        <v>89</v>
      </c>
      <c r="B122" s="325" t="s">
        <v>6</v>
      </c>
      <c r="C122" s="325" t="s">
        <v>6</v>
      </c>
      <c r="D122" s="326" t="s">
        <v>6</v>
      </c>
      <c r="E122" s="326">
        <f>SUM(E121:E121)</f>
        <v>3115896</v>
      </c>
    </row>
    <row r="123" spans="1:5">
      <c r="A123" s="50"/>
      <c r="B123" s="50"/>
      <c r="C123" s="50"/>
      <c r="D123" s="51"/>
      <c r="E123" s="51"/>
    </row>
    <row r="124" spans="1:5">
      <c r="A124" s="547" t="s">
        <v>115</v>
      </c>
      <c r="B124" s="547"/>
      <c r="C124" s="547"/>
      <c r="D124" s="547"/>
      <c r="E124" s="547"/>
    </row>
    <row r="125" spans="1:5">
      <c r="A125" s="553" t="s">
        <v>336</v>
      </c>
      <c r="B125" s="553"/>
      <c r="C125" s="553"/>
      <c r="D125" s="553"/>
      <c r="E125" s="553"/>
    </row>
    <row r="126" spans="1:5" ht="67.2">
      <c r="A126" s="95" t="s">
        <v>117</v>
      </c>
      <c r="B126" s="47" t="s">
        <v>7</v>
      </c>
      <c r="C126" s="47" t="s">
        <v>0</v>
      </c>
      <c r="D126" s="47" t="s">
        <v>1</v>
      </c>
      <c r="E126" s="47" t="s">
        <v>4</v>
      </c>
    </row>
    <row r="127" spans="1:5" ht="18">
      <c r="A127" s="346" t="s">
        <v>796</v>
      </c>
      <c r="B127" s="321" t="s">
        <v>751</v>
      </c>
      <c r="C127" s="347">
        <v>289</v>
      </c>
      <c r="D127" s="348">
        <v>13</v>
      </c>
      <c r="E127" s="349">
        <f>C127*D127</f>
        <v>3757</v>
      </c>
    </row>
    <row r="128" spans="1:5" ht="18">
      <c r="A128" s="346" t="s">
        <v>797</v>
      </c>
      <c r="B128" s="321" t="s">
        <v>751</v>
      </c>
      <c r="C128" s="347">
        <v>10</v>
      </c>
      <c r="D128" s="348">
        <v>53.5</v>
      </c>
      <c r="E128" s="349">
        <f>C128*D128</f>
        <v>535</v>
      </c>
    </row>
    <row r="129" spans="1:5" ht="18">
      <c r="A129" s="346" t="s">
        <v>798</v>
      </c>
      <c r="B129" s="321" t="s">
        <v>751</v>
      </c>
      <c r="C129" s="347">
        <v>25</v>
      </c>
      <c r="D129" s="348">
        <v>152</v>
      </c>
      <c r="E129" s="349">
        <f>C129*D129</f>
        <v>3800</v>
      </c>
    </row>
    <row r="130" spans="1:5" ht="18">
      <c r="A130" s="346" t="s">
        <v>799</v>
      </c>
      <c r="B130" s="321" t="s">
        <v>751</v>
      </c>
      <c r="C130" s="347">
        <v>26</v>
      </c>
      <c r="D130" s="348">
        <v>15</v>
      </c>
      <c r="E130" s="349">
        <f>C130*D130</f>
        <v>390</v>
      </c>
    </row>
    <row r="131" spans="1:5" ht="18">
      <c r="A131" s="346" t="s">
        <v>800</v>
      </c>
      <c r="B131" s="321" t="s">
        <v>751</v>
      </c>
      <c r="C131" s="347">
        <v>15.1</v>
      </c>
      <c r="D131" s="348">
        <v>77</v>
      </c>
      <c r="E131" s="324">
        <f t="shared" ref="E131:E169" si="3">C131*D131</f>
        <v>1162.7</v>
      </c>
    </row>
    <row r="132" spans="1:5" ht="18">
      <c r="A132" s="346" t="s">
        <v>801</v>
      </c>
      <c r="B132" s="321" t="s">
        <v>751</v>
      </c>
      <c r="C132" s="347">
        <v>30</v>
      </c>
      <c r="D132" s="348">
        <v>52</v>
      </c>
      <c r="E132" s="324">
        <f t="shared" si="3"/>
        <v>1560</v>
      </c>
    </row>
    <row r="133" spans="1:5" ht="18">
      <c r="A133" s="346" t="s">
        <v>802</v>
      </c>
      <c r="B133" s="321" t="s">
        <v>751</v>
      </c>
      <c r="C133" s="347">
        <v>6</v>
      </c>
      <c r="D133" s="348">
        <v>57</v>
      </c>
      <c r="E133" s="324">
        <f t="shared" si="3"/>
        <v>342</v>
      </c>
    </row>
    <row r="134" spans="1:5" ht="18">
      <c r="A134" s="346" t="s">
        <v>803</v>
      </c>
      <c r="B134" s="321" t="s">
        <v>751</v>
      </c>
      <c r="C134" s="347">
        <v>6</v>
      </c>
      <c r="D134" s="348">
        <v>60</v>
      </c>
      <c r="E134" s="324">
        <f t="shared" si="3"/>
        <v>360</v>
      </c>
    </row>
    <row r="135" spans="1:5" ht="18">
      <c r="A135" s="350" t="s">
        <v>804</v>
      </c>
      <c r="B135" s="321" t="s">
        <v>751</v>
      </c>
      <c r="C135" s="347">
        <v>22.8</v>
      </c>
      <c r="D135" s="351">
        <v>153.81</v>
      </c>
      <c r="E135" s="324">
        <f t="shared" si="3"/>
        <v>3506.8679999999999</v>
      </c>
    </row>
    <row r="136" spans="1:5" ht="18">
      <c r="A136" s="350" t="s">
        <v>805</v>
      </c>
      <c r="B136" s="321" t="s">
        <v>751</v>
      </c>
      <c r="C136" s="352">
        <v>5.9</v>
      </c>
      <c r="D136" s="353">
        <v>140.88999999999999</v>
      </c>
      <c r="E136" s="324">
        <f t="shared" si="3"/>
        <v>831.25099999999998</v>
      </c>
    </row>
    <row r="137" spans="1:5" ht="18">
      <c r="A137" s="350" t="s">
        <v>806</v>
      </c>
      <c r="B137" s="321" t="s">
        <v>751</v>
      </c>
      <c r="C137" s="352">
        <v>10.4</v>
      </c>
      <c r="D137" s="353">
        <v>131.63</v>
      </c>
      <c r="E137" s="324">
        <f t="shared" si="3"/>
        <v>1368.952</v>
      </c>
    </row>
    <row r="138" spans="1:5" ht="18">
      <c r="A138" s="350" t="s">
        <v>807</v>
      </c>
      <c r="B138" s="321" t="s">
        <v>751</v>
      </c>
      <c r="C138" s="352">
        <v>15.8</v>
      </c>
      <c r="D138" s="353">
        <v>127.93</v>
      </c>
      <c r="E138" s="324">
        <f t="shared" si="3"/>
        <v>2021.2940000000001</v>
      </c>
    </row>
    <row r="139" spans="1:5" ht="18">
      <c r="A139" s="350" t="s">
        <v>808</v>
      </c>
      <c r="B139" s="321" t="s">
        <v>751</v>
      </c>
      <c r="C139" s="352">
        <v>13.1</v>
      </c>
      <c r="D139" s="353">
        <v>120.52</v>
      </c>
      <c r="E139" s="324">
        <f t="shared" si="3"/>
        <v>1578.8119999999999</v>
      </c>
    </row>
    <row r="140" spans="1:5" ht="18">
      <c r="A140" s="350" t="s">
        <v>809</v>
      </c>
      <c r="B140" s="321" t="s">
        <v>751</v>
      </c>
      <c r="C140" s="352">
        <v>13.1</v>
      </c>
      <c r="D140" s="353">
        <v>131.63</v>
      </c>
      <c r="E140" s="324">
        <f t="shared" si="3"/>
        <v>1724.3529999999998</v>
      </c>
    </row>
    <row r="141" spans="1:5" ht="18">
      <c r="A141" s="346" t="s">
        <v>810</v>
      </c>
      <c r="B141" s="321" t="s">
        <v>751</v>
      </c>
      <c r="C141" s="352">
        <v>153.9</v>
      </c>
      <c r="D141" s="353">
        <v>38.770000000000003</v>
      </c>
      <c r="E141" s="324">
        <f t="shared" si="3"/>
        <v>5966.7030000000004</v>
      </c>
    </row>
    <row r="142" spans="1:5" ht="18">
      <c r="A142" s="350" t="s">
        <v>811</v>
      </c>
      <c r="B142" s="321" t="s">
        <v>751</v>
      </c>
      <c r="C142" s="352">
        <v>167</v>
      </c>
      <c r="D142" s="353">
        <v>19.670000000000002</v>
      </c>
      <c r="E142" s="324">
        <f t="shared" si="3"/>
        <v>3284.8900000000003</v>
      </c>
    </row>
    <row r="143" spans="1:5" ht="18">
      <c r="A143" s="350" t="s">
        <v>812</v>
      </c>
      <c r="B143" s="321" t="s">
        <v>751</v>
      </c>
      <c r="C143" s="352">
        <v>65</v>
      </c>
      <c r="D143" s="353">
        <v>716.5</v>
      </c>
      <c r="E143" s="324">
        <f t="shared" si="3"/>
        <v>46572.5</v>
      </c>
    </row>
    <row r="144" spans="1:5" ht="18">
      <c r="A144" s="346" t="s">
        <v>813</v>
      </c>
      <c r="B144" s="321" t="s">
        <v>751</v>
      </c>
      <c r="C144" s="354">
        <v>36</v>
      </c>
      <c r="D144" s="355">
        <v>25.92</v>
      </c>
      <c r="E144" s="324">
        <f t="shared" si="3"/>
        <v>933.12000000000012</v>
      </c>
    </row>
    <row r="145" spans="1:5" ht="18">
      <c r="A145" s="350" t="s">
        <v>814</v>
      </c>
      <c r="B145" s="321" t="s">
        <v>751</v>
      </c>
      <c r="C145" s="352">
        <v>1400</v>
      </c>
      <c r="D145" s="353">
        <v>9.5</v>
      </c>
      <c r="E145" s="324">
        <f t="shared" si="3"/>
        <v>13300</v>
      </c>
    </row>
    <row r="146" spans="1:5" ht="18">
      <c r="A146" s="356" t="s">
        <v>815</v>
      </c>
      <c r="B146" s="321" t="s">
        <v>751</v>
      </c>
      <c r="C146" s="347">
        <v>7</v>
      </c>
      <c r="D146" s="357">
        <v>1542</v>
      </c>
      <c r="E146" s="324">
        <f t="shared" si="3"/>
        <v>10794</v>
      </c>
    </row>
    <row r="147" spans="1:5" ht="18">
      <c r="A147" s="356" t="s">
        <v>816</v>
      </c>
      <c r="B147" s="321" t="s">
        <v>751</v>
      </c>
      <c r="C147" s="347">
        <v>34</v>
      </c>
      <c r="D147" s="348">
        <v>97.35</v>
      </c>
      <c r="E147" s="324">
        <f t="shared" si="3"/>
        <v>3309.8999999999996</v>
      </c>
    </row>
    <row r="148" spans="1:5" ht="18">
      <c r="A148" s="356" t="s">
        <v>817</v>
      </c>
      <c r="B148" s="321" t="s">
        <v>751</v>
      </c>
      <c r="C148" s="347">
        <v>55</v>
      </c>
      <c r="D148" s="348">
        <v>47.6</v>
      </c>
      <c r="E148" s="324">
        <f t="shared" si="3"/>
        <v>2618</v>
      </c>
    </row>
    <row r="149" spans="1:5" ht="18">
      <c r="A149" s="350" t="s">
        <v>818</v>
      </c>
      <c r="B149" s="321" t="s">
        <v>751</v>
      </c>
      <c r="C149" s="352">
        <v>45</v>
      </c>
      <c r="D149" s="353">
        <v>22.33</v>
      </c>
      <c r="E149" s="324">
        <f t="shared" si="3"/>
        <v>1004.8499999999999</v>
      </c>
    </row>
    <row r="150" spans="1:5" ht="18">
      <c r="A150" s="350" t="s">
        <v>819</v>
      </c>
      <c r="B150" s="321" t="s">
        <v>751</v>
      </c>
      <c r="C150" s="347">
        <v>25</v>
      </c>
      <c r="D150" s="348">
        <v>429</v>
      </c>
      <c r="E150" s="324">
        <f t="shared" si="3"/>
        <v>10725</v>
      </c>
    </row>
    <row r="151" spans="1:5" ht="18">
      <c r="A151" s="350" t="s">
        <v>820</v>
      </c>
      <c r="B151" s="321" t="s">
        <v>751</v>
      </c>
      <c r="C151" s="352">
        <v>6098</v>
      </c>
      <c r="D151" s="353">
        <v>2.2400000000000002</v>
      </c>
      <c r="E151" s="358">
        <f>C151*D151</f>
        <v>13659.52</v>
      </c>
    </row>
    <row r="152" spans="1:5" ht="18">
      <c r="A152" s="350" t="s">
        <v>821</v>
      </c>
      <c r="B152" s="321" t="s">
        <v>751</v>
      </c>
      <c r="C152" s="352">
        <v>34</v>
      </c>
      <c r="D152" s="353">
        <v>37.200000000000003</v>
      </c>
      <c r="E152" s="358">
        <f t="shared" si="3"/>
        <v>1264.8000000000002</v>
      </c>
    </row>
    <row r="153" spans="1:5" ht="36">
      <c r="A153" s="346" t="s">
        <v>822</v>
      </c>
      <c r="B153" s="321" t="s">
        <v>751</v>
      </c>
      <c r="C153" s="359">
        <v>15</v>
      </c>
      <c r="D153" s="360">
        <v>44.64</v>
      </c>
      <c r="E153" s="358">
        <f t="shared" si="3"/>
        <v>669.6</v>
      </c>
    </row>
    <row r="154" spans="1:5" ht="18">
      <c r="A154" s="346" t="s">
        <v>823</v>
      </c>
      <c r="B154" s="321" t="s">
        <v>751</v>
      </c>
      <c r="C154" s="347">
        <v>85</v>
      </c>
      <c r="D154" s="348">
        <v>31.7</v>
      </c>
      <c r="E154" s="358">
        <f t="shared" si="3"/>
        <v>2694.5</v>
      </c>
    </row>
    <row r="155" spans="1:5" ht="18">
      <c r="A155" s="350" t="s">
        <v>824</v>
      </c>
      <c r="B155" s="321" t="s">
        <v>751</v>
      </c>
      <c r="C155" s="352">
        <v>12</v>
      </c>
      <c r="D155" s="353">
        <v>224.75</v>
      </c>
      <c r="E155" s="358">
        <f t="shared" si="3"/>
        <v>2697</v>
      </c>
    </row>
    <row r="156" spans="1:5" ht="18">
      <c r="A156" s="350" t="s">
        <v>825</v>
      </c>
      <c r="B156" s="321" t="s">
        <v>751</v>
      </c>
      <c r="C156" s="361">
        <v>17</v>
      </c>
      <c r="D156" s="353">
        <v>70.67</v>
      </c>
      <c r="E156" s="358">
        <f t="shared" si="3"/>
        <v>1201.3900000000001</v>
      </c>
    </row>
    <row r="157" spans="1:5" ht="18">
      <c r="A157" s="350" t="s">
        <v>826</v>
      </c>
      <c r="B157" s="321" t="s">
        <v>751</v>
      </c>
      <c r="C157" s="361">
        <v>7</v>
      </c>
      <c r="D157" s="353">
        <v>439</v>
      </c>
      <c r="E157" s="358">
        <f t="shared" si="3"/>
        <v>3073</v>
      </c>
    </row>
    <row r="158" spans="1:5" ht="18">
      <c r="A158" s="350" t="s">
        <v>827</v>
      </c>
      <c r="B158" s="321" t="s">
        <v>751</v>
      </c>
      <c r="C158" s="361">
        <v>9</v>
      </c>
      <c r="D158" s="353">
        <v>146</v>
      </c>
      <c r="E158" s="358">
        <f t="shared" si="3"/>
        <v>1314</v>
      </c>
    </row>
    <row r="159" spans="1:5" ht="18">
      <c r="A159" s="350" t="s">
        <v>828</v>
      </c>
      <c r="B159" s="321" t="s">
        <v>751</v>
      </c>
      <c r="C159" s="361">
        <v>175</v>
      </c>
      <c r="D159" s="353">
        <v>19.2</v>
      </c>
      <c r="E159" s="358">
        <f t="shared" si="3"/>
        <v>3360</v>
      </c>
    </row>
    <row r="160" spans="1:5" ht="18">
      <c r="A160" s="350" t="s">
        <v>829</v>
      </c>
      <c r="B160" s="321" t="s">
        <v>751</v>
      </c>
      <c r="C160" s="361">
        <v>63</v>
      </c>
      <c r="D160" s="353">
        <v>22</v>
      </c>
      <c r="E160" s="358">
        <f t="shared" si="3"/>
        <v>1386</v>
      </c>
    </row>
    <row r="161" spans="1:8" ht="18">
      <c r="A161" s="350" t="s">
        <v>830</v>
      </c>
      <c r="B161" s="321" t="s">
        <v>751</v>
      </c>
      <c r="C161" s="361">
        <v>512</v>
      </c>
      <c r="D161" s="353">
        <v>1.54</v>
      </c>
      <c r="E161" s="358">
        <f t="shared" si="3"/>
        <v>788.48</v>
      </c>
    </row>
    <row r="162" spans="1:8" ht="18">
      <c r="A162" s="350" t="s">
        <v>831</v>
      </c>
      <c r="B162" s="321" t="s">
        <v>751</v>
      </c>
      <c r="C162" s="361">
        <v>4</v>
      </c>
      <c r="D162" s="353">
        <v>235</v>
      </c>
      <c r="E162" s="358">
        <f t="shared" si="3"/>
        <v>940</v>
      </c>
    </row>
    <row r="163" spans="1:8" ht="18">
      <c r="A163" s="346" t="s">
        <v>832</v>
      </c>
      <c r="B163" s="321" t="s">
        <v>751</v>
      </c>
      <c r="C163" s="362">
        <v>10</v>
      </c>
      <c r="D163" s="363">
        <v>207</v>
      </c>
      <c r="E163" s="358">
        <f t="shared" si="3"/>
        <v>2070</v>
      </c>
    </row>
    <row r="164" spans="1:8" ht="18">
      <c r="A164" s="346" t="s">
        <v>833</v>
      </c>
      <c r="B164" s="321" t="s">
        <v>751</v>
      </c>
      <c r="C164" s="362">
        <v>11.3</v>
      </c>
      <c r="D164" s="363">
        <v>113.32</v>
      </c>
      <c r="E164" s="358">
        <f t="shared" si="3"/>
        <v>1280.5160000000001</v>
      </c>
    </row>
    <row r="165" spans="1:8" ht="18">
      <c r="A165" s="364" t="s">
        <v>834</v>
      </c>
      <c r="B165" s="321" t="s">
        <v>751</v>
      </c>
      <c r="C165" s="354">
        <v>10</v>
      </c>
      <c r="D165" s="365">
        <v>97</v>
      </c>
      <c r="E165" s="358">
        <f t="shared" si="3"/>
        <v>970</v>
      </c>
    </row>
    <row r="166" spans="1:8" ht="18">
      <c r="A166" s="388" t="s">
        <v>1002</v>
      </c>
      <c r="B166" s="321"/>
      <c r="C166" s="354">
        <v>20</v>
      </c>
      <c r="D166" s="389"/>
      <c r="E166" s="358"/>
    </row>
    <row r="167" spans="1:8" ht="36">
      <c r="A167" s="388" t="s">
        <v>1003</v>
      </c>
      <c r="B167" s="321" t="s">
        <v>1004</v>
      </c>
      <c r="C167" s="354">
        <v>4</v>
      </c>
      <c r="D167" s="389"/>
      <c r="E167" s="358"/>
    </row>
    <row r="168" spans="1:8" ht="18">
      <c r="A168" s="388"/>
      <c r="B168" s="321"/>
      <c r="C168" s="354"/>
      <c r="D168" s="389"/>
      <c r="E168" s="358"/>
    </row>
    <row r="169" spans="1:8" ht="18">
      <c r="A169" s="334" t="s">
        <v>835</v>
      </c>
      <c r="B169" s="321" t="s">
        <v>751</v>
      </c>
      <c r="C169" s="354">
        <v>10</v>
      </c>
      <c r="D169" s="355">
        <v>17</v>
      </c>
      <c r="E169" s="324">
        <f t="shared" si="3"/>
        <v>170</v>
      </c>
    </row>
    <row r="170" spans="1:8">
      <c r="A170" s="52" t="s">
        <v>8</v>
      </c>
      <c r="B170" s="52" t="s">
        <v>6</v>
      </c>
      <c r="C170" s="52" t="s">
        <v>6</v>
      </c>
      <c r="D170" s="53" t="s">
        <v>6</v>
      </c>
      <c r="E170" s="53">
        <f>SUM(E127:E169)</f>
        <v>158985.99900000001</v>
      </c>
    </row>
    <row r="171" spans="1:8">
      <c r="A171" s="50"/>
      <c r="B171" s="50"/>
      <c r="C171" s="50"/>
      <c r="D171" s="51"/>
      <c r="E171" s="51"/>
    </row>
    <row r="172" spans="1:8">
      <c r="A172" s="547" t="s">
        <v>115</v>
      </c>
      <c r="B172" s="547"/>
      <c r="C172" s="547"/>
      <c r="D172" s="547"/>
      <c r="E172" s="547"/>
    </row>
    <row r="173" spans="1:8">
      <c r="A173" s="553" t="s">
        <v>337</v>
      </c>
      <c r="B173" s="553"/>
      <c r="C173" s="553"/>
      <c r="D173" s="553"/>
      <c r="E173" s="553"/>
      <c r="F173" s="553"/>
      <c r="G173" s="553"/>
      <c r="H173" s="553"/>
    </row>
    <row r="174" spans="1:8" ht="109.2">
      <c r="A174" s="133" t="s">
        <v>298</v>
      </c>
      <c r="B174" s="133" t="s">
        <v>299</v>
      </c>
      <c r="C174" s="133" t="s">
        <v>338</v>
      </c>
      <c r="D174" s="133" t="s">
        <v>316</v>
      </c>
      <c r="E174" s="133" t="s">
        <v>339</v>
      </c>
      <c r="F174" s="133" t="s">
        <v>317</v>
      </c>
      <c r="G174" s="133" t="s">
        <v>281</v>
      </c>
      <c r="H174" s="133" t="s">
        <v>155</v>
      </c>
    </row>
    <row r="175" spans="1:8" ht="18">
      <c r="A175" s="366"/>
      <c r="B175" s="366"/>
      <c r="C175" s="323" t="s">
        <v>301</v>
      </c>
      <c r="D175" s="367">
        <v>207</v>
      </c>
      <c r="E175" s="366"/>
      <c r="F175" s="366"/>
      <c r="G175" s="366"/>
      <c r="H175" s="366"/>
    </row>
    <row r="176" spans="1:8" ht="18">
      <c r="A176" s="366" t="s">
        <v>302</v>
      </c>
      <c r="B176" s="366" t="s">
        <v>751</v>
      </c>
      <c r="C176" s="323">
        <v>3</v>
      </c>
      <c r="D176" s="366">
        <f>C176*D175</f>
        <v>621</v>
      </c>
      <c r="E176" s="366">
        <v>58</v>
      </c>
      <c r="F176" s="366">
        <v>207</v>
      </c>
      <c r="G176" s="366">
        <v>400</v>
      </c>
      <c r="H176" s="366">
        <f>F176*G176</f>
        <v>82800</v>
      </c>
    </row>
    <row r="177" spans="1:8" ht="18">
      <c r="A177" s="366" t="s">
        <v>304</v>
      </c>
      <c r="B177" s="366" t="s">
        <v>751</v>
      </c>
      <c r="C177" s="323">
        <v>2</v>
      </c>
      <c r="D177" s="366">
        <f>C177*D175</f>
        <v>414</v>
      </c>
      <c r="E177" s="366">
        <v>23</v>
      </c>
      <c r="F177" s="366">
        <v>207</v>
      </c>
      <c r="G177" s="366">
        <v>400</v>
      </c>
      <c r="H177" s="366">
        <f t="shared" ref="H177:H197" si="4">F177*G177</f>
        <v>82800</v>
      </c>
    </row>
    <row r="178" spans="1:8" ht="18">
      <c r="A178" s="366" t="s">
        <v>305</v>
      </c>
      <c r="B178" s="366" t="s">
        <v>751</v>
      </c>
      <c r="C178" s="323">
        <v>2</v>
      </c>
      <c r="D178" s="366">
        <f>C178*D175</f>
        <v>414</v>
      </c>
      <c r="E178" s="366">
        <v>207</v>
      </c>
      <c r="F178" s="366">
        <f>D178-E178</f>
        <v>207</v>
      </c>
      <c r="G178" s="366">
        <v>400</v>
      </c>
      <c r="H178" s="366">
        <f t="shared" si="4"/>
        <v>82800</v>
      </c>
    </row>
    <row r="179" spans="1:8" ht="18">
      <c r="A179" s="366" t="s">
        <v>306</v>
      </c>
      <c r="B179" s="366" t="s">
        <v>751</v>
      </c>
      <c r="C179" s="323">
        <v>5</v>
      </c>
      <c r="D179" s="366">
        <f>C179*D175</f>
        <v>1035</v>
      </c>
      <c r="E179" s="366">
        <v>33</v>
      </c>
      <c r="F179" s="366">
        <v>600</v>
      </c>
      <c r="G179" s="366">
        <v>400</v>
      </c>
      <c r="H179" s="366">
        <f t="shared" si="4"/>
        <v>240000</v>
      </c>
    </row>
    <row r="180" spans="1:8" ht="18">
      <c r="A180" s="366" t="s">
        <v>307</v>
      </c>
      <c r="B180" s="366" t="s">
        <v>751</v>
      </c>
      <c r="C180" s="323">
        <v>2</v>
      </c>
      <c r="D180" s="366">
        <f>C180*D175</f>
        <v>414</v>
      </c>
      <c r="E180" s="366">
        <v>4</v>
      </c>
      <c r="F180" s="366">
        <v>30</v>
      </c>
      <c r="G180" s="366">
        <v>800</v>
      </c>
      <c r="H180" s="366">
        <f t="shared" si="4"/>
        <v>24000</v>
      </c>
    </row>
    <row r="181" spans="1:8" ht="18">
      <c r="A181" s="366" t="s">
        <v>308</v>
      </c>
      <c r="B181" s="366" t="s">
        <v>751</v>
      </c>
      <c r="C181" s="323">
        <v>1</v>
      </c>
      <c r="D181" s="366">
        <f>C181*D175</f>
        <v>207</v>
      </c>
      <c r="E181" s="366">
        <v>33</v>
      </c>
      <c r="F181" s="366">
        <v>25</v>
      </c>
      <c r="G181" s="366">
        <v>1000</v>
      </c>
      <c r="H181" s="366">
        <f t="shared" si="4"/>
        <v>25000</v>
      </c>
    </row>
    <row r="182" spans="1:8" ht="18">
      <c r="A182" s="366" t="s">
        <v>309</v>
      </c>
      <c r="B182" s="366" t="s">
        <v>751</v>
      </c>
      <c r="C182" s="323">
        <v>1</v>
      </c>
      <c r="D182" s="366">
        <f>C182*D175</f>
        <v>207</v>
      </c>
      <c r="E182" s="366">
        <v>12</v>
      </c>
      <c r="F182" s="366">
        <v>200</v>
      </c>
      <c r="G182" s="366">
        <v>1000</v>
      </c>
      <c r="H182" s="366">
        <f t="shared" si="4"/>
        <v>200000</v>
      </c>
    </row>
    <row r="183" spans="1:8" ht="18">
      <c r="A183" s="366" t="s">
        <v>310</v>
      </c>
      <c r="B183" s="366" t="s">
        <v>751</v>
      </c>
      <c r="C183" s="323">
        <v>1</v>
      </c>
      <c r="D183" s="366">
        <f>C183*D175</f>
        <v>207</v>
      </c>
      <c r="E183" s="366">
        <v>170</v>
      </c>
      <c r="F183" s="366">
        <v>50</v>
      </c>
      <c r="G183" s="366">
        <v>350</v>
      </c>
      <c r="H183" s="366">
        <f t="shared" si="4"/>
        <v>17500</v>
      </c>
    </row>
    <row r="184" spans="1:8" ht="18">
      <c r="A184" s="313" t="s">
        <v>992</v>
      </c>
      <c r="B184" s="366" t="s">
        <v>751</v>
      </c>
      <c r="C184" s="133">
        <v>1</v>
      </c>
      <c r="D184" s="133">
        <v>207</v>
      </c>
      <c r="E184" s="133"/>
      <c r="F184" s="133">
        <v>210</v>
      </c>
      <c r="G184" s="133">
        <v>300</v>
      </c>
      <c r="H184" s="366">
        <f t="shared" si="4"/>
        <v>63000</v>
      </c>
    </row>
    <row r="185" spans="1:8" ht="18">
      <c r="A185" s="133" t="s">
        <v>982</v>
      </c>
      <c r="B185" s="366" t="s">
        <v>751</v>
      </c>
      <c r="C185" s="133"/>
      <c r="D185" s="133"/>
      <c r="E185" s="133"/>
      <c r="F185" s="133"/>
      <c r="G185" s="133" t="s">
        <v>1042</v>
      </c>
      <c r="H185" s="133">
        <f>SUM(H176:H184)</f>
        <v>817900</v>
      </c>
    </row>
    <row r="186" spans="1:8" ht="18">
      <c r="A186" s="314" t="s">
        <v>983</v>
      </c>
      <c r="B186" s="366" t="s">
        <v>751</v>
      </c>
      <c r="C186" s="133"/>
      <c r="D186" s="133"/>
      <c r="E186" s="133"/>
      <c r="F186" s="133">
        <v>8</v>
      </c>
      <c r="G186" s="133">
        <v>780</v>
      </c>
      <c r="H186" s="366">
        <f t="shared" si="4"/>
        <v>6240</v>
      </c>
    </row>
    <row r="187" spans="1:8" ht="18">
      <c r="A187" s="314" t="s">
        <v>984</v>
      </c>
      <c r="B187" s="366" t="s">
        <v>751</v>
      </c>
      <c r="C187" s="133"/>
      <c r="D187" s="133"/>
      <c r="E187" s="133"/>
      <c r="F187" s="133">
        <v>8</v>
      </c>
      <c r="G187" s="133">
        <v>1300</v>
      </c>
      <c r="H187" s="366">
        <f t="shared" si="4"/>
        <v>10400</v>
      </c>
    </row>
    <row r="188" spans="1:8" ht="18">
      <c r="A188" s="314" t="s">
        <v>985</v>
      </c>
      <c r="B188" s="366" t="s">
        <v>751</v>
      </c>
      <c r="C188" s="133"/>
      <c r="D188" s="133"/>
      <c r="E188" s="133"/>
      <c r="F188" s="133">
        <v>8</v>
      </c>
      <c r="G188" s="133">
        <v>1300</v>
      </c>
      <c r="H188" s="366">
        <f t="shared" si="4"/>
        <v>10400</v>
      </c>
    </row>
    <row r="189" spans="1:8" ht="18">
      <c r="A189" s="314" t="s">
        <v>986</v>
      </c>
      <c r="B189" s="366" t="s">
        <v>751</v>
      </c>
      <c r="C189" s="133"/>
      <c r="D189" s="133"/>
      <c r="E189" s="133"/>
      <c r="F189" s="133">
        <v>8</v>
      </c>
      <c r="G189" s="133">
        <v>580</v>
      </c>
      <c r="H189" s="366">
        <f t="shared" si="4"/>
        <v>4640</v>
      </c>
    </row>
    <row r="190" spans="1:8" ht="18">
      <c r="A190" s="314" t="s">
        <v>987</v>
      </c>
      <c r="B190" s="366" t="s">
        <v>751</v>
      </c>
      <c r="C190" s="133"/>
      <c r="D190" s="133"/>
      <c r="E190" s="133"/>
      <c r="F190" s="133">
        <v>8</v>
      </c>
      <c r="G190" s="133">
        <v>400</v>
      </c>
      <c r="H190" s="366">
        <f t="shared" si="4"/>
        <v>3200</v>
      </c>
    </row>
    <row r="191" spans="1:8" ht="18">
      <c r="A191" s="314" t="s">
        <v>988</v>
      </c>
      <c r="B191" s="366" t="s">
        <v>751</v>
      </c>
      <c r="C191" s="133"/>
      <c r="D191" s="133"/>
      <c r="E191" s="133"/>
      <c r="F191" s="133">
        <v>2</v>
      </c>
      <c r="G191" s="133">
        <v>1107</v>
      </c>
      <c r="H191" s="366">
        <f t="shared" si="4"/>
        <v>2214</v>
      </c>
    </row>
    <row r="192" spans="1:8" ht="18">
      <c r="A192" s="387" t="s">
        <v>989</v>
      </c>
      <c r="B192" s="366" t="s">
        <v>751</v>
      </c>
      <c r="C192" s="135"/>
      <c r="D192" s="134"/>
      <c r="E192" s="134"/>
      <c r="F192" s="135">
        <v>8</v>
      </c>
      <c r="G192" s="135">
        <v>300</v>
      </c>
      <c r="H192" s="366">
        <f t="shared" si="4"/>
        <v>2400</v>
      </c>
    </row>
    <row r="193" spans="1:8" ht="18">
      <c r="A193" s="387" t="s">
        <v>991</v>
      </c>
      <c r="B193" s="366" t="s">
        <v>751</v>
      </c>
      <c r="C193" s="135"/>
      <c r="D193" s="134"/>
      <c r="E193" s="134"/>
      <c r="F193" s="135">
        <v>8</v>
      </c>
      <c r="G193" s="135">
        <v>1300</v>
      </c>
      <c r="H193" s="366">
        <f t="shared" si="4"/>
        <v>10400</v>
      </c>
    </row>
    <row r="194" spans="1:8" ht="18">
      <c r="A194" s="387" t="s">
        <v>990</v>
      </c>
      <c r="B194" s="366" t="s">
        <v>751</v>
      </c>
      <c r="C194" s="135"/>
      <c r="D194" s="134"/>
      <c r="E194" s="134"/>
      <c r="F194" s="135">
        <v>4</v>
      </c>
      <c r="G194" s="135">
        <v>1400</v>
      </c>
      <c r="H194" s="366">
        <f t="shared" si="4"/>
        <v>5600</v>
      </c>
    </row>
    <row r="195" spans="1:8" ht="18">
      <c r="A195" s="387" t="s">
        <v>1079</v>
      </c>
      <c r="B195" s="366" t="s">
        <v>751</v>
      </c>
      <c r="C195" s="135"/>
      <c r="D195" s="134"/>
      <c r="E195" s="134"/>
      <c r="F195" s="135">
        <v>36</v>
      </c>
      <c r="G195" s="135">
        <v>1500</v>
      </c>
      <c r="H195" s="366">
        <f t="shared" si="4"/>
        <v>54000</v>
      </c>
    </row>
    <row r="196" spans="1:8" ht="18">
      <c r="A196" s="387" t="s">
        <v>1080</v>
      </c>
      <c r="B196" s="366" t="s">
        <v>751</v>
      </c>
      <c r="C196" s="135"/>
      <c r="D196" s="134"/>
      <c r="E196" s="134"/>
      <c r="F196" s="135">
        <v>10</v>
      </c>
      <c r="G196" s="135">
        <v>1500</v>
      </c>
      <c r="H196" s="366">
        <f t="shared" si="4"/>
        <v>15000</v>
      </c>
    </row>
    <row r="197" spans="1:8" ht="18">
      <c r="A197" s="387" t="s">
        <v>1081</v>
      </c>
      <c r="B197" s="366"/>
      <c r="C197" s="135"/>
      <c r="D197" s="134"/>
      <c r="E197" s="134"/>
      <c r="F197" s="135">
        <v>10</v>
      </c>
      <c r="G197" s="135">
        <v>3000</v>
      </c>
      <c r="H197" s="366">
        <f t="shared" si="4"/>
        <v>30000</v>
      </c>
    </row>
    <row r="198" spans="1:8" ht="18">
      <c r="A198" s="387"/>
      <c r="B198" s="366"/>
      <c r="C198" s="135"/>
      <c r="D198" s="134"/>
      <c r="E198" s="134"/>
      <c r="F198" s="135"/>
      <c r="G198" s="135" t="s">
        <v>1041</v>
      </c>
      <c r="H198" s="366">
        <f>SUM(H186:H197)</f>
        <v>154494</v>
      </c>
    </row>
    <row r="199" spans="1:8" ht="18">
      <c r="A199" s="387"/>
      <c r="B199" s="366"/>
      <c r="C199" s="135"/>
      <c r="D199" s="134"/>
      <c r="E199" s="134"/>
      <c r="F199" s="135"/>
      <c r="G199" s="135"/>
      <c r="H199" s="366"/>
    </row>
    <row r="200" spans="1:8" ht="18">
      <c r="A200" s="387"/>
      <c r="B200" s="366"/>
      <c r="C200" s="135"/>
      <c r="D200" s="134"/>
      <c r="E200" s="134"/>
      <c r="F200" s="135"/>
      <c r="G200" s="135"/>
      <c r="H200" s="366"/>
    </row>
    <row r="201" spans="1:8" ht="17.25" customHeight="1">
      <c r="A201" s="52"/>
      <c r="B201" s="52"/>
      <c r="C201" s="52"/>
      <c r="D201" s="53"/>
      <c r="E201" s="53"/>
      <c r="F201" s="83"/>
      <c r="G201" s="83"/>
      <c r="H201" s="78">
        <f>H185+H198</f>
        <v>972394</v>
      </c>
    </row>
    <row r="202" spans="1:8" ht="17.25" customHeight="1">
      <c r="A202" s="50"/>
      <c r="B202" s="50"/>
      <c r="C202" s="50"/>
      <c r="D202" s="51"/>
      <c r="E202" s="51"/>
      <c r="H202" s="137"/>
    </row>
    <row r="203" spans="1:8" ht="17.25" customHeight="1">
      <c r="A203" s="547" t="s">
        <v>115</v>
      </c>
      <c r="B203" s="547"/>
      <c r="C203" s="547"/>
      <c r="D203" s="547"/>
      <c r="E203" s="547"/>
      <c r="H203" s="137"/>
    </row>
    <row r="204" spans="1:8" ht="17.25" customHeight="1">
      <c r="A204" s="553" t="s">
        <v>340</v>
      </c>
      <c r="B204" s="553"/>
      <c r="C204" s="553"/>
      <c r="D204" s="553"/>
      <c r="E204" s="553"/>
      <c r="H204" s="137"/>
    </row>
    <row r="205" spans="1:8" ht="67.2">
      <c r="A205" s="95" t="s">
        <v>117</v>
      </c>
      <c r="B205" s="47" t="s">
        <v>7</v>
      </c>
      <c r="C205" s="47" t="s">
        <v>0</v>
      </c>
      <c r="D205" s="47" t="s">
        <v>1</v>
      </c>
      <c r="E205" s="47" t="s">
        <v>4</v>
      </c>
      <c r="H205" s="137"/>
    </row>
    <row r="206" spans="1:8" ht="18">
      <c r="A206" s="322" t="s">
        <v>836</v>
      </c>
      <c r="B206" s="366" t="s">
        <v>751</v>
      </c>
      <c r="C206" s="323">
        <v>207</v>
      </c>
      <c r="D206" s="368">
        <v>96</v>
      </c>
      <c r="E206" s="324">
        <f t="shared" ref="E206:E225" si="5">C206*D206</f>
        <v>19872</v>
      </c>
      <c r="H206" s="137"/>
    </row>
    <row r="207" spans="1:8" ht="18">
      <c r="A207" s="350" t="s">
        <v>837</v>
      </c>
      <c r="B207" s="366" t="s">
        <v>751</v>
      </c>
      <c r="C207" s="403">
        <v>400</v>
      </c>
      <c r="D207" s="368">
        <v>405</v>
      </c>
      <c r="E207" s="324">
        <f t="shared" si="5"/>
        <v>162000</v>
      </c>
      <c r="H207" s="137"/>
    </row>
    <row r="208" spans="1:8" ht="18">
      <c r="A208" s="350" t="s">
        <v>838</v>
      </c>
      <c r="B208" s="366" t="s">
        <v>751</v>
      </c>
      <c r="C208" s="403">
        <v>500</v>
      </c>
      <c r="D208" s="368">
        <v>600</v>
      </c>
      <c r="E208" s="324">
        <f t="shared" si="5"/>
        <v>300000</v>
      </c>
      <c r="H208" s="137"/>
    </row>
    <row r="209" spans="1:8" ht="18">
      <c r="A209" s="350" t="s">
        <v>839</v>
      </c>
      <c r="B209" s="366" t="s">
        <v>751</v>
      </c>
      <c r="C209" s="403">
        <v>20</v>
      </c>
      <c r="D209" s="368">
        <v>90</v>
      </c>
      <c r="E209" s="324">
        <f t="shared" si="5"/>
        <v>1800</v>
      </c>
      <c r="H209" s="137"/>
    </row>
    <row r="210" spans="1:8" ht="18">
      <c r="A210" s="350" t="s">
        <v>848</v>
      </c>
      <c r="B210" s="366" t="s">
        <v>751</v>
      </c>
      <c r="C210" s="403">
        <v>50</v>
      </c>
      <c r="D210" s="368">
        <v>80</v>
      </c>
      <c r="E210" s="324">
        <f t="shared" si="5"/>
        <v>4000</v>
      </c>
      <c r="H210" s="137"/>
    </row>
    <row r="211" spans="1:8" ht="18">
      <c r="A211" s="350" t="s">
        <v>840</v>
      </c>
      <c r="B211" s="366" t="s">
        <v>751</v>
      </c>
      <c r="C211" s="323">
        <v>260</v>
      </c>
      <c r="D211" s="368">
        <v>312</v>
      </c>
      <c r="E211" s="324">
        <f t="shared" si="5"/>
        <v>81120</v>
      </c>
      <c r="H211" s="137"/>
    </row>
    <row r="212" spans="1:8" ht="18">
      <c r="A212" s="322" t="s">
        <v>841</v>
      </c>
      <c r="B212" s="366" t="s">
        <v>751</v>
      </c>
      <c r="C212" s="323">
        <v>1000</v>
      </c>
      <c r="D212" s="368">
        <v>73.67</v>
      </c>
      <c r="E212" s="324">
        <f t="shared" si="5"/>
        <v>73670</v>
      </c>
      <c r="H212" s="137"/>
    </row>
    <row r="213" spans="1:8" ht="18">
      <c r="A213" s="322" t="s">
        <v>842</v>
      </c>
      <c r="B213" s="366" t="s">
        <v>751</v>
      </c>
      <c r="C213" s="323">
        <v>100</v>
      </c>
      <c r="D213" s="368">
        <v>30</v>
      </c>
      <c r="E213" s="324">
        <f t="shared" si="5"/>
        <v>3000</v>
      </c>
      <c r="H213" s="137"/>
    </row>
    <row r="214" spans="1:8" ht="18">
      <c r="A214" s="322" t="s">
        <v>843</v>
      </c>
      <c r="B214" s="366" t="s">
        <v>751</v>
      </c>
      <c r="C214" s="323">
        <v>1200</v>
      </c>
      <c r="D214" s="368">
        <v>26</v>
      </c>
      <c r="E214" s="324">
        <f t="shared" si="5"/>
        <v>31200</v>
      </c>
      <c r="H214" s="137"/>
    </row>
    <row r="215" spans="1:8" ht="18">
      <c r="A215" s="350" t="s">
        <v>844</v>
      </c>
      <c r="B215" s="366" t="s">
        <v>751</v>
      </c>
      <c r="C215" s="323">
        <v>1200</v>
      </c>
      <c r="D215" s="368">
        <v>22</v>
      </c>
      <c r="E215" s="324">
        <f t="shared" si="5"/>
        <v>26400</v>
      </c>
      <c r="H215" s="137"/>
    </row>
    <row r="216" spans="1:8" ht="18">
      <c r="A216" s="350" t="s">
        <v>845</v>
      </c>
      <c r="B216" s="366" t="s">
        <v>751</v>
      </c>
      <c r="C216" s="323">
        <v>740</v>
      </c>
      <c r="D216" s="368">
        <v>68.33</v>
      </c>
      <c r="E216" s="324">
        <f t="shared" si="5"/>
        <v>50564.2</v>
      </c>
      <c r="H216" s="137"/>
    </row>
    <row r="217" spans="1:8" ht="18">
      <c r="A217" s="350" t="s">
        <v>846</v>
      </c>
      <c r="B217" s="366" t="s">
        <v>751</v>
      </c>
      <c r="C217" s="323">
        <v>858</v>
      </c>
      <c r="D217" s="368">
        <v>110</v>
      </c>
      <c r="E217" s="324">
        <f t="shared" si="5"/>
        <v>94380</v>
      </c>
      <c r="H217" s="137"/>
    </row>
    <row r="218" spans="1:8" ht="18">
      <c r="A218" s="350" t="s">
        <v>847</v>
      </c>
      <c r="B218" s="366" t="s">
        <v>751</v>
      </c>
      <c r="C218" s="323">
        <v>9700</v>
      </c>
      <c r="D218" s="368">
        <v>10</v>
      </c>
      <c r="E218" s="324">
        <f t="shared" si="5"/>
        <v>97000</v>
      </c>
      <c r="H218" s="137"/>
    </row>
    <row r="219" spans="1:8" ht="18">
      <c r="A219" s="95" t="s">
        <v>849</v>
      </c>
      <c r="B219" s="366" t="s">
        <v>751</v>
      </c>
      <c r="C219" s="298">
        <v>400</v>
      </c>
      <c r="D219" s="404">
        <v>50</v>
      </c>
      <c r="E219" s="324">
        <f t="shared" si="5"/>
        <v>20000</v>
      </c>
      <c r="H219" s="137"/>
    </row>
    <row r="220" spans="1:8" ht="18">
      <c r="A220" s="95" t="s">
        <v>850</v>
      </c>
      <c r="B220" s="366" t="s">
        <v>751</v>
      </c>
      <c r="C220" s="298">
        <v>400</v>
      </c>
      <c r="D220" s="404">
        <v>50</v>
      </c>
      <c r="E220" s="324">
        <f t="shared" si="5"/>
        <v>20000</v>
      </c>
      <c r="H220" s="137"/>
    </row>
    <row r="221" spans="1:8" ht="18">
      <c r="A221" s="95" t="s">
        <v>851</v>
      </c>
      <c r="B221" s="366" t="s">
        <v>751</v>
      </c>
      <c r="C221" s="298">
        <v>8600</v>
      </c>
      <c r="D221" s="404">
        <v>2.5</v>
      </c>
      <c r="E221" s="324">
        <f t="shared" si="5"/>
        <v>21500</v>
      </c>
      <c r="H221" s="137"/>
    </row>
    <row r="222" spans="1:8" ht="18">
      <c r="A222" s="95" t="s">
        <v>790</v>
      </c>
      <c r="B222" s="366" t="s">
        <v>751</v>
      </c>
      <c r="C222" s="298">
        <v>4000</v>
      </c>
      <c r="D222" s="404">
        <v>2.1</v>
      </c>
      <c r="E222" s="324">
        <f t="shared" si="5"/>
        <v>8400</v>
      </c>
      <c r="H222" s="137"/>
    </row>
    <row r="223" spans="1:8" ht="18">
      <c r="A223" s="95" t="s">
        <v>852</v>
      </c>
      <c r="B223" s="366" t="s">
        <v>751</v>
      </c>
      <c r="C223" s="298">
        <v>2000</v>
      </c>
      <c r="D223" s="404">
        <v>2.6</v>
      </c>
      <c r="E223" s="324">
        <f t="shared" si="5"/>
        <v>5200</v>
      </c>
      <c r="H223" s="137"/>
    </row>
    <row r="224" spans="1:8" ht="18">
      <c r="A224" s="95" t="s">
        <v>853</v>
      </c>
      <c r="B224" s="366" t="s">
        <v>751</v>
      </c>
      <c r="C224" s="298">
        <v>4000</v>
      </c>
      <c r="D224" s="404">
        <v>5</v>
      </c>
      <c r="E224" s="324">
        <f t="shared" si="5"/>
        <v>20000</v>
      </c>
      <c r="H224" s="137"/>
    </row>
    <row r="225" spans="1:8" ht="18">
      <c r="A225" s="95" t="s">
        <v>1013</v>
      </c>
      <c r="B225" s="366" t="s">
        <v>751</v>
      </c>
      <c r="C225" s="298">
        <v>500</v>
      </c>
      <c r="D225" s="404">
        <v>40</v>
      </c>
      <c r="E225" s="324">
        <f t="shared" si="5"/>
        <v>20000</v>
      </c>
      <c r="H225" s="137"/>
    </row>
    <row r="226" spans="1:8">
      <c r="A226" s="52" t="s">
        <v>89</v>
      </c>
      <c r="B226" s="52" t="s">
        <v>6</v>
      </c>
      <c r="C226" s="52" t="s">
        <v>6</v>
      </c>
      <c r="D226" s="53" t="s">
        <v>6</v>
      </c>
      <c r="E226" s="53">
        <f>SUM(E206:E225)</f>
        <v>1060106.2</v>
      </c>
    </row>
    <row r="227" spans="1:8">
      <c r="A227" s="50"/>
      <c r="B227" s="50"/>
      <c r="C227" s="50"/>
      <c r="D227" s="51"/>
      <c r="E227" s="51"/>
    </row>
    <row r="228" spans="1:8">
      <c r="A228" s="547" t="s">
        <v>115</v>
      </c>
      <c r="B228" s="547"/>
      <c r="C228" s="547"/>
      <c r="D228" s="547"/>
      <c r="E228" s="547"/>
    </row>
    <row r="229" spans="1:8">
      <c r="A229" s="551" t="s">
        <v>341</v>
      </c>
      <c r="B229" s="551"/>
      <c r="C229" s="551"/>
      <c r="D229" s="551"/>
      <c r="E229" s="551"/>
    </row>
    <row r="230" spans="1:8" ht="67.2">
      <c r="A230" s="95" t="s">
        <v>117</v>
      </c>
      <c r="B230" s="47" t="s">
        <v>7</v>
      </c>
      <c r="C230" s="47" t="s">
        <v>0</v>
      </c>
      <c r="D230" s="47" t="s">
        <v>1</v>
      </c>
      <c r="E230" s="47" t="s">
        <v>4</v>
      </c>
    </row>
    <row r="231" spans="1:8" ht="18">
      <c r="A231" s="334" t="s">
        <v>854</v>
      </c>
      <c r="B231" s="321" t="s">
        <v>751</v>
      </c>
      <c r="C231" s="369">
        <v>4</v>
      </c>
      <c r="D231" s="398">
        <v>80</v>
      </c>
      <c r="E231" s="324">
        <f t="shared" ref="E231:E277" si="6">C231*D231</f>
        <v>320</v>
      </c>
    </row>
    <row r="232" spans="1:8" ht="18">
      <c r="A232" s="334" t="s">
        <v>855</v>
      </c>
      <c r="B232" s="321" t="s">
        <v>751</v>
      </c>
      <c r="C232" s="369">
        <v>22</v>
      </c>
      <c r="D232" s="398">
        <v>55</v>
      </c>
      <c r="E232" s="324">
        <f t="shared" si="6"/>
        <v>1210</v>
      </c>
    </row>
    <row r="233" spans="1:8" ht="18">
      <c r="A233" s="334" t="s">
        <v>856</v>
      </c>
      <c r="B233" s="321" t="s">
        <v>751</v>
      </c>
      <c r="C233" s="369">
        <v>4</v>
      </c>
      <c r="D233" s="398">
        <v>45</v>
      </c>
      <c r="E233" s="324">
        <f t="shared" si="6"/>
        <v>180</v>
      </c>
    </row>
    <row r="234" spans="1:8" ht="18">
      <c r="A234" s="334" t="s">
        <v>857</v>
      </c>
      <c r="B234" s="321" t="s">
        <v>751</v>
      </c>
      <c r="C234" s="369">
        <v>21</v>
      </c>
      <c r="D234" s="398">
        <v>110</v>
      </c>
      <c r="E234" s="324">
        <f t="shared" si="6"/>
        <v>2310</v>
      </c>
    </row>
    <row r="235" spans="1:8" ht="18">
      <c r="A235" s="334" t="s">
        <v>858</v>
      </c>
      <c r="B235" s="321" t="s">
        <v>751</v>
      </c>
      <c r="C235" s="369">
        <v>10</v>
      </c>
      <c r="D235" s="398">
        <v>850</v>
      </c>
      <c r="E235" s="324">
        <f t="shared" si="6"/>
        <v>8500</v>
      </c>
    </row>
    <row r="236" spans="1:8" ht="18">
      <c r="A236" s="334" t="s">
        <v>859</v>
      </c>
      <c r="B236" s="321" t="s">
        <v>751</v>
      </c>
      <c r="C236" s="369">
        <v>7</v>
      </c>
      <c r="D236" s="398">
        <v>121.5</v>
      </c>
      <c r="E236" s="324">
        <f t="shared" si="6"/>
        <v>850.5</v>
      </c>
    </row>
    <row r="237" spans="1:8" ht="18">
      <c r="A237" s="370" t="s">
        <v>860</v>
      </c>
      <c r="B237" s="321" t="s">
        <v>751</v>
      </c>
      <c r="C237" s="369">
        <v>30</v>
      </c>
      <c r="D237" s="398">
        <v>300</v>
      </c>
      <c r="E237" s="324">
        <f t="shared" si="6"/>
        <v>9000</v>
      </c>
    </row>
    <row r="238" spans="1:8" ht="18">
      <c r="A238" s="334" t="s">
        <v>861</v>
      </c>
      <c r="B238" s="321" t="s">
        <v>751</v>
      </c>
      <c r="C238" s="369">
        <v>65</v>
      </c>
      <c r="D238" s="398">
        <v>250</v>
      </c>
      <c r="E238" s="324">
        <f t="shared" si="6"/>
        <v>16250</v>
      </c>
    </row>
    <row r="239" spans="1:8" ht="18">
      <c r="A239" s="370" t="s">
        <v>862</v>
      </c>
      <c r="B239" s="321" t="s">
        <v>751</v>
      </c>
      <c r="C239" s="369">
        <v>10</v>
      </c>
      <c r="D239" s="398">
        <v>789</v>
      </c>
      <c r="E239" s="324">
        <f t="shared" si="6"/>
        <v>7890</v>
      </c>
    </row>
    <row r="240" spans="1:8" ht="18">
      <c r="A240" s="334" t="s">
        <v>863</v>
      </c>
      <c r="B240" s="321" t="s">
        <v>751</v>
      </c>
      <c r="C240" s="369">
        <v>82</v>
      </c>
      <c r="D240" s="398">
        <v>250</v>
      </c>
      <c r="E240" s="324">
        <f t="shared" si="6"/>
        <v>20500</v>
      </c>
    </row>
    <row r="241" spans="1:5" ht="18">
      <c r="A241" s="329" t="s">
        <v>864</v>
      </c>
      <c r="B241" s="321" t="s">
        <v>751</v>
      </c>
      <c r="C241" s="371">
        <v>145</v>
      </c>
      <c r="D241" s="398">
        <v>25</v>
      </c>
      <c r="E241" s="324">
        <f t="shared" si="6"/>
        <v>3625</v>
      </c>
    </row>
    <row r="242" spans="1:5" ht="18">
      <c r="A242" s="334" t="s">
        <v>865</v>
      </c>
      <c r="B242" s="321" t="s">
        <v>751</v>
      </c>
      <c r="C242" s="369">
        <v>15</v>
      </c>
      <c r="D242" s="398">
        <v>279</v>
      </c>
      <c r="E242" s="324">
        <f t="shared" si="6"/>
        <v>4185</v>
      </c>
    </row>
    <row r="243" spans="1:5" ht="36">
      <c r="A243" s="334" t="s">
        <v>866</v>
      </c>
      <c r="B243" s="321" t="s">
        <v>751</v>
      </c>
      <c r="C243" s="369">
        <v>500</v>
      </c>
      <c r="D243" s="398">
        <v>120</v>
      </c>
      <c r="E243" s="324">
        <f t="shared" si="6"/>
        <v>60000</v>
      </c>
    </row>
    <row r="244" spans="1:5" ht="18">
      <c r="A244" s="334" t="s">
        <v>867</v>
      </c>
      <c r="B244" s="321" t="s">
        <v>751</v>
      </c>
      <c r="C244" s="369">
        <v>580</v>
      </c>
      <c r="D244" s="398">
        <v>100</v>
      </c>
      <c r="E244" s="324">
        <f t="shared" si="6"/>
        <v>58000</v>
      </c>
    </row>
    <row r="245" spans="1:5" ht="18">
      <c r="A245" s="372" t="s">
        <v>868</v>
      </c>
      <c r="B245" s="321" t="s">
        <v>751</v>
      </c>
      <c r="C245" s="373">
        <v>2</v>
      </c>
      <c r="D245" s="398">
        <v>630</v>
      </c>
      <c r="E245" s="324">
        <f t="shared" si="6"/>
        <v>1260</v>
      </c>
    </row>
    <row r="246" spans="1:5" ht="18">
      <c r="A246" s="334" t="s">
        <v>869</v>
      </c>
      <c r="B246" s="321" t="s">
        <v>751</v>
      </c>
      <c r="C246" s="369">
        <v>39</v>
      </c>
      <c r="D246" s="398">
        <v>297</v>
      </c>
      <c r="E246" s="324">
        <f t="shared" si="6"/>
        <v>11583</v>
      </c>
    </row>
    <row r="247" spans="1:5" ht="18">
      <c r="A247" s="370" t="s">
        <v>870</v>
      </c>
      <c r="B247" s="321" t="s">
        <v>751</v>
      </c>
      <c r="C247" s="369">
        <v>2</v>
      </c>
      <c r="D247" s="398">
        <v>396.94720000000001</v>
      </c>
      <c r="E247" s="324">
        <f t="shared" si="6"/>
        <v>793.89440000000002</v>
      </c>
    </row>
    <row r="248" spans="1:5" ht="36">
      <c r="A248" s="334" t="s">
        <v>871</v>
      </c>
      <c r="B248" s="321" t="s">
        <v>751</v>
      </c>
      <c r="C248" s="369">
        <v>5</v>
      </c>
      <c r="D248" s="398">
        <v>554</v>
      </c>
      <c r="E248" s="324">
        <f t="shared" si="6"/>
        <v>2770</v>
      </c>
    </row>
    <row r="249" spans="1:5" ht="18">
      <c r="A249" s="334" t="s">
        <v>997</v>
      </c>
      <c r="B249" s="321"/>
      <c r="C249" s="369">
        <v>5</v>
      </c>
      <c r="D249" s="398">
        <v>300</v>
      </c>
      <c r="E249" s="324">
        <f t="shared" si="6"/>
        <v>1500</v>
      </c>
    </row>
    <row r="250" spans="1:5" ht="18">
      <c r="A250" s="334" t="s">
        <v>998</v>
      </c>
      <c r="B250" s="321"/>
      <c r="C250" s="369">
        <v>5</v>
      </c>
      <c r="D250" s="398">
        <v>300</v>
      </c>
      <c r="E250" s="324">
        <f t="shared" si="6"/>
        <v>1500</v>
      </c>
    </row>
    <row r="251" spans="1:5" ht="18">
      <c r="A251" s="334" t="s">
        <v>999</v>
      </c>
      <c r="B251" s="321"/>
      <c r="C251" s="369">
        <v>10</v>
      </c>
      <c r="D251" s="398">
        <v>100</v>
      </c>
      <c r="E251" s="324">
        <f t="shared" si="6"/>
        <v>1000</v>
      </c>
    </row>
    <row r="252" spans="1:5" ht="18">
      <c r="A252" s="334" t="s">
        <v>1000</v>
      </c>
      <c r="B252" s="321"/>
      <c r="C252" s="369">
        <v>10</v>
      </c>
      <c r="D252" s="398">
        <v>300</v>
      </c>
      <c r="E252" s="324">
        <f t="shared" si="6"/>
        <v>3000</v>
      </c>
    </row>
    <row r="253" spans="1:5" ht="18">
      <c r="A253" s="334" t="s">
        <v>872</v>
      </c>
      <c r="B253" s="321" t="s">
        <v>751</v>
      </c>
      <c r="C253" s="369">
        <v>10</v>
      </c>
      <c r="D253" s="398">
        <v>133.57759999999999</v>
      </c>
      <c r="E253" s="324">
        <f t="shared" si="6"/>
        <v>1335.7759999999998</v>
      </c>
    </row>
    <row r="254" spans="1:5" ht="18">
      <c r="A254" s="334" t="s">
        <v>873</v>
      </c>
      <c r="B254" s="321" t="s">
        <v>751</v>
      </c>
      <c r="C254" s="369">
        <v>100</v>
      </c>
      <c r="D254" s="398">
        <v>19</v>
      </c>
      <c r="E254" s="324">
        <f t="shared" si="6"/>
        <v>1900</v>
      </c>
    </row>
    <row r="255" spans="1:5" ht="18">
      <c r="A255" s="334" t="s">
        <v>874</v>
      </c>
      <c r="B255" s="321" t="s">
        <v>751</v>
      </c>
      <c r="C255" s="369">
        <v>3</v>
      </c>
      <c r="D255" s="398">
        <v>272.20627199999996</v>
      </c>
      <c r="E255" s="324">
        <f t="shared" si="6"/>
        <v>816.61881599999992</v>
      </c>
    </row>
    <row r="256" spans="1:5" ht="18">
      <c r="A256" s="334" t="s">
        <v>875</v>
      </c>
      <c r="B256" s="321" t="s">
        <v>751</v>
      </c>
      <c r="C256" s="369">
        <v>32</v>
      </c>
      <c r="D256" s="398">
        <v>83.402175999999997</v>
      </c>
      <c r="E256" s="324">
        <f t="shared" si="6"/>
        <v>2668.8696319999999</v>
      </c>
    </row>
    <row r="257" spans="1:5" ht="16.2" customHeight="1">
      <c r="A257" s="334" t="s">
        <v>876</v>
      </c>
      <c r="B257" s="321" t="s">
        <v>751</v>
      </c>
      <c r="C257" s="369">
        <v>500</v>
      </c>
      <c r="D257" s="398">
        <v>25</v>
      </c>
      <c r="E257" s="324">
        <f t="shared" si="6"/>
        <v>12500</v>
      </c>
    </row>
    <row r="258" spans="1:5" ht="18">
      <c r="A258" s="334" t="s">
        <v>877</v>
      </c>
      <c r="B258" s="321" t="s">
        <v>751</v>
      </c>
      <c r="C258" s="369">
        <v>3</v>
      </c>
      <c r="D258" s="398">
        <v>100</v>
      </c>
      <c r="E258" s="324">
        <f t="shared" si="6"/>
        <v>300</v>
      </c>
    </row>
    <row r="259" spans="1:5" ht="18">
      <c r="A259" s="334" t="s">
        <v>878</v>
      </c>
      <c r="B259" s="321" t="s">
        <v>751</v>
      </c>
      <c r="C259" s="369">
        <v>8</v>
      </c>
      <c r="D259" s="398">
        <v>540</v>
      </c>
      <c r="E259" s="324">
        <f t="shared" si="6"/>
        <v>4320</v>
      </c>
    </row>
    <row r="260" spans="1:5" ht="18">
      <c r="A260" s="333" t="s">
        <v>879</v>
      </c>
      <c r="B260" s="321" t="s">
        <v>751</v>
      </c>
      <c r="C260" s="374">
        <v>3</v>
      </c>
      <c r="D260" s="398">
        <v>4484</v>
      </c>
      <c r="E260" s="324">
        <f t="shared" si="6"/>
        <v>13452</v>
      </c>
    </row>
    <row r="261" spans="1:5" ht="18">
      <c r="A261" s="334" t="s">
        <v>880</v>
      </c>
      <c r="B261" s="321" t="s">
        <v>751</v>
      </c>
      <c r="C261" s="369">
        <v>1</v>
      </c>
      <c r="D261" s="398">
        <v>572</v>
      </c>
      <c r="E261" s="324">
        <f t="shared" si="6"/>
        <v>572</v>
      </c>
    </row>
    <row r="262" spans="1:5" ht="18">
      <c r="A262" s="334" t="s">
        <v>996</v>
      </c>
      <c r="B262" s="321" t="s">
        <v>751</v>
      </c>
      <c r="C262" s="369">
        <v>1</v>
      </c>
      <c r="D262" s="398">
        <v>1500</v>
      </c>
      <c r="E262" s="324">
        <f t="shared" si="6"/>
        <v>1500</v>
      </c>
    </row>
    <row r="263" spans="1:5" ht="18">
      <c r="A263" s="334" t="s">
        <v>881</v>
      </c>
      <c r="B263" s="321" t="s">
        <v>751</v>
      </c>
      <c r="C263" s="369">
        <v>8</v>
      </c>
      <c r="D263" s="398">
        <v>75.528127999999995</v>
      </c>
      <c r="E263" s="324">
        <f t="shared" si="6"/>
        <v>604.22502399999996</v>
      </c>
    </row>
    <row r="264" spans="1:5" ht="18">
      <c r="A264" s="334" t="s">
        <v>1001</v>
      </c>
      <c r="B264" s="321"/>
      <c r="C264" s="369">
        <v>10</v>
      </c>
      <c r="D264" s="398">
        <v>300</v>
      </c>
      <c r="E264" s="324">
        <f t="shared" si="6"/>
        <v>3000</v>
      </c>
    </row>
    <row r="265" spans="1:5" ht="18">
      <c r="A265" s="334" t="s">
        <v>882</v>
      </c>
      <c r="B265" s="321" t="s">
        <v>751</v>
      </c>
      <c r="C265" s="369">
        <v>94</v>
      </c>
      <c r="D265" s="398">
        <v>200</v>
      </c>
      <c r="E265" s="324">
        <f t="shared" si="6"/>
        <v>18800</v>
      </c>
    </row>
    <row r="266" spans="1:5" ht="18">
      <c r="A266" s="334" t="s">
        <v>883</v>
      </c>
      <c r="B266" s="321" t="s">
        <v>751</v>
      </c>
      <c r="C266" s="369">
        <v>3</v>
      </c>
      <c r="D266" s="398">
        <v>186.759872</v>
      </c>
      <c r="E266" s="324">
        <f t="shared" si="6"/>
        <v>560.27961600000003</v>
      </c>
    </row>
    <row r="267" spans="1:5" ht="18">
      <c r="A267" s="334" t="s">
        <v>884</v>
      </c>
      <c r="B267" s="321" t="s">
        <v>751</v>
      </c>
      <c r="C267" s="369">
        <v>2</v>
      </c>
      <c r="D267" s="398">
        <v>482.39359999999999</v>
      </c>
      <c r="E267" s="324">
        <f t="shared" si="6"/>
        <v>964.78719999999998</v>
      </c>
    </row>
    <row r="268" spans="1:5" ht="18">
      <c r="A268" s="334" t="s">
        <v>885</v>
      </c>
      <c r="B268" s="321" t="s">
        <v>751</v>
      </c>
      <c r="C268" s="369">
        <v>3</v>
      </c>
      <c r="D268" s="398">
        <v>60.212671999999998</v>
      </c>
      <c r="E268" s="324">
        <f t="shared" si="6"/>
        <v>180.63801599999999</v>
      </c>
    </row>
    <row r="269" spans="1:5" ht="36">
      <c r="A269" s="334" t="s">
        <v>886</v>
      </c>
      <c r="B269" s="321" t="s">
        <v>751</v>
      </c>
      <c r="C269" s="369">
        <v>8</v>
      </c>
      <c r="D269" s="398">
        <v>520</v>
      </c>
      <c r="E269" s="324">
        <f t="shared" si="6"/>
        <v>4160</v>
      </c>
    </row>
    <row r="270" spans="1:5" ht="18">
      <c r="A270" s="333" t="s">
        <v>887</v>
      </c>
      <c r="B270" s="321" t="s">
        <v>751</v>
      </c>
      <c r="C270" s="373">
        <v>1</v>
      </c>
      <c r="D270" s="398">
        <v>786.97216000000003</v>
      </c>
      <c r="E270" s="324">
        <f t="shared" si="6"/>
        <v>786.97216000000003</v>
      </c>
    </row>
    <row r="271" spans="1:5" ht="18">
      <c r="A271" s="333" t="s">
        <v>888</v>
      </c>
      <c r="B271" s="321" t="s">
        <v>751</v>
      </c>
      <c r="C271" s="373">
        <v>1</v>
      </c>
      <c r="D271" s="398">
        <v>243.36</v>
      </c>
      <c r="E271" s="324">
        <f t="shared" si="6"/>
        <v>243.36</v>
      </c>
    </row>
    <row r="272" spans="1:5" ht="36">
      <c r="A272" s="334" t="s">
        <v>889</v>
      </c>
      <c r="B272" s="321" t="s">
        <v>751</v>
      </c>
      <c r="C272" s="369">
        <v>30</v>
      </c>
      <c r="D272" s="398">
        <v>165</v>
      </c>
      <c r="E272" s="324">
        <f t="shared" si="6"/>
        <v>4950</v>
      </c>
    </row>
    <row r="273" spans="1:5" ht="18">
      <c r="A273" s="334" t="s">
        <v>890</v>
      </c>
      <c r="B273" s="321" t="s">
        <v>751</v>
      </c>
      <c r="C273" s="369">
        <v>8</v>
      </c>
      <c r="D273" s="398">
        <v>57.324799999999996</v>
      </c>
      <c r="E273" s="324">
        <f t="shared" si="6"/>
        <v>458.59839999999997</v>
      </c>
    </row>
    <row r="274" spans="1:5" ht="18">
      <c r="A274" s="334" t="s">
        <v>1007</v>
      </c>
      <c r="B274" s="321" t="s">
        <v>751</v>
      </c>
      <c r="C274" s="369">
        <v>10</v>
      </c>
      <c r="D274" s="398">
        <v>200</v>
      </c>
      <c r="E274" s="324">
        <f t="shared" si="6"/>
        <v>2000</v>
      </c>
    </row>
    <row r="275" spans="1:5" ht="18">
      <c r="A275" s="334" t="s">
        <v>1008</v>
      </c>
      <c r="B275" s="321"/>
      <c r="C275" s="369">
        <v>50</v>
      </c>
      <c r="D275" s="398">
        <v>150</v>
      </c>
      <c r="E275" s="324">
        <f t="shared" si="6"/>
        <v>7500</v>
      </c>
    </row>
    <row r="276" spans="1:5" ht="18">
      <c r="A276" s="334" t="s">
        <v>891</v>
      </c>
      <c r="B276" s="321" t="s">
        <v>751</v>
      </c>
      <c r="C276" s="369">
        <v>15</v>
      </c>
      <c r="D276" s="398">
        <v>110</v>
      </c>
      <c r="E276" s="324">
        <f t="shared" si="6"/>
        <v>1650</v>
      </c>
    </row>
    <row r="277" spans="1:5" ht="18">
      <c r="A277" s="375" t="s">
        <v>892</v>
      </c>
      <c r="B277" s="321" t="s">
        <v>751</v>
      </c>
      <c r="C277" s="376">
        <v>10</v>
      </c>
      <c r="D277" s="398">
        <v>638.14400000000001</v>
      </c>
      <c r="E277" s="324">
        <f t="shared" si="6"/>
        <v>6381.4400000000005</v>
      </c>
    </row>
    <row r="278" spans="1:5" ht="18">
      <c r="A278" s="390"/>
      <c r="B278" s="321"/>
      <c r="C278" s="391"/>
      <c r="D278" s="398"/>
      <c r="E278" s="324"/>
    </row>
    <row r="279" spans="1:5" ht="18">
      <c r="A279" s="377" t="s">
        <v>893</v>
      </c>
      <c r="B279" s="321"/>
      <c r="C279" s="321"/>
      <c r="D279" s="386"/>
      <c r="E279" s="321"/>
    </row>
    <row r="280" spans="1:5" ht="18">
      <c r="A280" s="334" t="s">
        <v>894</v>
      </c>
      <c r="B280" s="321" t="s">
        <v>751</v>
      </c>
      <c r="C280" s="369">
        <v>1</v>
      </c>
      <c r="D280" s="405">
        <v>108.23435787113497</v>
      </c>
      <c r="E280" s="324">
        <f>C280*D280</f>
        <v>108.23435787113497</v>
      </c>
    </row>
    <row r="281" spans="1:5" ht="18">
      <c r="A281" s="334" t="s">
        <v>895</v>
      </c>
      <c r="B281" s="321" t="s">
        <v>751</v>
      </c>
      <c r="C281" s="369">
        <v>1</v>
      </c>
      <c r="D281" s="405">
        <v>1374.6210556213885</v>
      </c>
      <c r="E281" s="324">
        <f t="shared" ref="E281:E319" si="7">C281*D281</f>
        <v>1374.6210556213885</v>
      </c>
    </row>
    <row r="282" spans="1:5" ht="36">
      <c r="A282" s="334" t="s">
        <v>896</v>
      </c>
      <c r="B282" s="321" t="s">
        <v>751</v>
      </c>
      <c r="C282" s="369">
        <v>2</v>
      </c>
      <c r="D282" s="405">
        <v>110</v>
      </c>
      <c r="E282" s="324">
        <f t="shared" si="7"/>
        <v>220</v>
      </c>
    </row>
    <row r="283" spans="1:5" ht="36">
      <c r="A283" s="334" t="s">
        <v>897</v>
      </c>
      <c r="B283" s="321" t="s">
        <v>751</v>
      </c>
      <c r="C283" s="369">
        <v>4</v>
      </c>
      <c r="D283" s="405">
        <v>59.510493256018329</v>
      </c>
      <c r="E283" s="324">
        <f t="shared" si="7"/>
        <v>238.04197302407331</v>
      </c>
    </row>
    <row r="284" spans="1:5" ht="18">
      <c r="A284" s="334"/>
      <c r="B284" s="321" t="s">
        <v>751</v>
      </c>
      <c r="C284" s="369"/>
      <c r="D284" s="405"/>
      <c r="E284" s="324"/>
    </row>
    <row r="285" spans="1:5" ht="18">
      <c r="A285" s="334" t="s">
        <v>898</v>
      </c>
      <c r="B285" s="321" t="s">
        <v>751</v>
      </c>
      <c r="C285" s="369">
        <v>1</v>
      </c>
      <c r="D285" s="405">
        <v>1760.6503037768969</v>
      </c>
      <c r="E285" s="324">
        <f t="shared" si="7"/>
        <v>1760.6503037768969</v>
      </c>
    </row>
    <row r="286" spans="1:5" ht="18">
      <c r="A286" s="334" t="s">
        <v>899</v>
      </c>
      <c r="B286" s="321" t="s">
        <v>751</v>
      </c>
      <c r="C286" s="369">
        <v>1</v>
      </c>
      <c r="D286" s="405">
        <v>1760.6503037768969</v>
      </c>
      <c r="E286" s="324">
        <f t="shared" si="7"/>
        <v>1760.6503037768969</v>
      </c>
    </row>
    <row r="287" spans="1:5" ht="18">
      <c r="A287" s="334" t="s">
        <v>900</v>
      </c>
      <c r="B287" s="321" t="s">
        <v>751</v>
      </c>
      <c r="C287" s="369">
        <v>2</v>
      </c>
      <c r="D287" s="405">
        <v>303.43096570969823</v>
      </c>
      <c r="E287" s="324">
        <f t="shared" si="7"/>
        <v>606.86193141939646</v>
      </c>
    </row>
    <row r="288" spans="1:5" ht="18">
      <c r="A288" s="334" t="s">
        <v>901</v>
      </c>
      <c r="B288" s="321" t="s">
        <v>751</v>
      </c>
      <c r="C288" s="369">
        <v>2</v>
      </c>
      <c r="D288" s="405">
        <v>935.67550814914262</v>
      </c>
      <c r="E288" s="324">
        <f t="shared" si="7"/>
        <v>1871.3510162982852</v>
      </c>
    </row>
    <row r="289" spans="1:5" ht="18">
      <c r="A289" s="334" t="s">
        <v>902</v>
      </c>
      <c r="B289" s="321" t="s">
        <v>751</v>
      </c>
      <c r="C289" s="369">
        <v>1</v>
      </c>
      <c r="D289" s="405">
        <v>54.098589467783739</v>
      </c>
      <c r="E289" s="324">
        <f t="shared" si="7"/>
        <v>54.098589467783739</v>
      </c>
    </row>
    <row r="290" spans="1:5" ht="18">
      <c r="A290" s="334" t="s">
        <v>903</v>
      </c>
      <c r="B290" s="321" t="s">
        <v>751</v>
      </c>
      <c r="C290" s="369">
        <v>1</v>
      </c>
      <c r="D290" s="405">
        <v>232.88771925932141</v>
      </c>
      <c r="E290" s="324">
        <f t="shared" si="7"/>
        <v>232.88771925932141</v>
      </c>
    </row>
    <row r="291" spans="1:5" ht="18">
      <c r="A291" s="334" t="s">
        <v>903</v>
      </c>
      <c r="B291" s="321" t="s">
        <v>751</v>
      </c>
      <c r="C291" s="369">
        <v>1</v>
      </c>
      <c r="D291" s="405">
        <v>232.88771925932141</v>
      </c>
      <c r="E291" s="324">
        <f t="shared" si="7"/>
        <v>232.88771925932141</v>
      </c>
    </row>
    <row r="292" spans="1:5" ht="18">
      <c r="A292" s="334" t="s">
        <v>904</v>
      </c>
      <c r="B292" s="321" t="s">
        <v>751</v>
      </c>
      <c r="C292" s="369">
        <v>4</v>
      </c>
      <c r="D292" s="405">
        <v>64.922768833608586</v>
      </c>
      <c r="E292" s="324">
        <f t="shared" si="7"/>
        <v>259.69107533443434</v>
      </c>
    </row>
    <row r="293" spans="1:5" ht="18">
      <c r="A293" s="334" t="s">
        <v>905</v>
      </c>
      <c r="B293" s="321" t="s">
        <v>751</v>
      </c>
      <c r="C293" s="369">
        <v>1</v>
      </c>
      <c r="D293" s="405">
        <v>205.77243191479724</v>
      </c>
      <c r="E293" s="324">
        <f t="shared" si="7"/>
        <v>205.77243191479724</v>
      </c>
    </row>
    <row r="294" spans="1:5" ht="18">
      <c r="A294" s="334" t="s">
        <v>905</v>
      </c>
      <c r="B294" s="321" t="s">
        <v>751</v>
      </c>
      <c r="C294" s="369">
        <v>1</v>
      </c>
      <c r="D294" s="405">
        <v>178.66643930416495</v>
      </c>
      <c r="E294" s="324">
        <f t="shared" si="7"/>
        <v>178.66643930416495</v>
      </c>
    </row>
    <row r="295" spans="1:5" ht="18">
      <c r="A295" s="334" t="s">
        <v>906</v>
      </c>
      <c r="B295" s="321" t="s">
        <v>751</v>
      </c>
      <c r="C295" s="369">
        <v>2</v>
      </c>
      <c r="D295" s="405">
        <v>129.89907533443437</v>
      </c>
      <c r="E295" s="324">
        <f t="shared" si="7"/>
        <v>259.79815066886874</v>
      </c>
    </row>
    <row r="296" spans="1:5" ht="18">
      <c r="A296" s="334" t="s">
        <v>907</v>
      </c>
      <c r="B296" s="321" t="s">
        <v>751</v>
      </c>
      <c r="C296" s="369">
        <v>4</v>
      </c>
      <c r="D296" s="405">
        <v>303.43096570969823</v>
      </c>
      <c r="E296" s="324">
        <f t="shared" si="7"/>
        <v>1213.7238628387929</v>
      </c>
    </row>
    <row r="297" spans="1:5" ht="18">
      <c r="A297" s="334" t="s">
        <v>908</v>
      </c>
      <c r="B297" s="321" t="s">
        <v>751</v>
      </c>
      <c r="C297" s="369">
        <v>1</v>
      </c>
      <c r="D297" s="405">
        <v>97.404229875619322</v>
      </c>
      <c r="E297" s="324">
        <f t="shared" si="7"/>
        <v>97.404229875619322</v>
      </c>
    </row>
    <row r="298" spans="1:5" ht="18">
      <c r="A298" s="334" t="s">
        <v>909</v>
      </c>
      <c r="B298" s="321" t="s">
        <v>751</v>
      </c>
      <c r="C298" s="369">
        <v>1</v>
      </c>
      <c r="D298" s="405">
        <v>341.44181597633678</v>
      </c>
      <c r="E298" s="324">
        <f t="shared" si="7"/>
        <v>341.44181597633678</v>
      </c>
    </row>
    <row r="299" spans="1:5" ht="36">
      <c r="A299" s="334" t="s">
        <v>910</v>
      </c>
      <c r="B299" s="321" t="s">
        <v>751</v>
      </c>
      <c r="C299" s="369">
        <v>1</v>
      </c>
      <c r="D299" s="405">
        <v>422.95498321996297</v>
      </c>
      <c r="E299" s="324">
        <f t="shared" si="7"/>
        <v>422.95498321996297</v>
      </c>
    </row>
    <row r="300" spans="1:5" ht="18">
      <c r="A300" s="334" t="s">
        <v>911</v>
      </c>
      <c r="B300" s="321" t="s">
        <v>751</v>
      </c>
      <c r="C300" s="369">
        <v>30</v>
      </c>
      <c r="D300" s="405">
        <v>10.81674357871135</v>
      </c>
      <c r="E300" s="324">
        <f t="shared" si="7"/>
        <v>324.50230736134051</v>
      </c>
    </row>
    <row r="301" spans="1:5" ht="18">
      <c r="A301" s="334" t="s">
        <v>912</v>
      </c>
      <c r="B301" s="321" t="s">
        <v>751</v>
      </c>
      <c r="C301" s="369">
        <v>30</v>
      </c>
      <c r="D301" s="405">
        <v>12.980270753344344</v>
      </c>
      <c r="E301" s="324">
        <f t="shared" si="7"/>
        <v>389.40812260033033</v>
      </c>
    </row>
    <row r="302" spans="1:5" ht="18">
      <c r="A302" s="334" t="s">
        <v>913</v>
      </c>
      <c r="B302" s="321" t="s">
        <v>751</v>
      </c>
      <c r="C302" s="369">
        <v>1</v>
      </c>
      <c r="D302" s="405">
        <v>227.46391821170522</v>
      </c>
      <c r="E302" s="324">
        <f t="shared" si="7"/>
        <v>227.46391821170522</v>
      </c>
    </row>
    <row r="303" spans="1:5" ht="18">
      <c r="A303" s="334" t="s">
        <v>914</v>
      </c>
      <c r="B303" s="321" t="s">
        <v>751</v>
      </c>
      <c r="C303" s="369">
        <v>1</v>
      </c>
      <c r="D303" s="405">
        <v>1872.3860229262932</v>
      </c>
      <c r="E303" s="324">
        <f t="shared" si="7"/>
        <v>1872.3860229262932</v>
      </c>
    </row>
    <row r="304" spans="1:5" ht="18">
      <c r="A304" s="334" t="s">
        <v>915</v>
      </c>
      <c r="B304" s="321" t="s">
        <v>751</v>
      </c>
      <c r="C304" s="369">
        <v>1</v>
      </c>
      <c r="D304" s="405">
        <v>2593.9903599073355</v>
      </c>
      <c r="E304" s="324">
        <f t="shared" si="7"/>
        <v>2593.9903599073355</v>
      </c>
    </row>
    <row r="305" spans="1:5" ht="18">
      <c r="A305" s="334" t="s">
        <v>916</v>
      </c>
      <c r="B305" s="321" t="s">
        <v>751</v>
      </c>
      <c r="C305" s="369">
        <v>1</v>
      </c>
      <c r="D305" s="405">
        <v>15141.649225147627</v>
      </c>
      <c r="E305" s="324">
        <f t="shared" si="7"/>
        <v>15141.649225147627</v>
      </c>
    </row>
    <row r="306" spans="1:5" ht="18">
      <c r="A306" s="334" t="s">
        <v>917</v>
      </c>
      <c r="B306" s="321" t="s">
        <v>751</v>
      </c>
      <c r="C306" s="369">
        <v>20</v>
      </c>
      <c r="D306" s="405">
        <v>124.482338284576</v>
      </c>
      <c r="E306" s="324">
        <f t="shared" si="7"/>
        <v>2489.6467656915202</v>
      </c>
    </row>
    <row r="307" spans="1:5" ht="18">
      <c r="A307" s="334" t="s">
        <v>918</v>
      </c>
      <c r="B307" s="321" t="s">
        <v>751</v>
      </c>
      <c r="C307" s="369">
        <v>1</v>
      </c>
      <c r="D307" s="405">
        <v>222.04048895344471</v>
      </c>
      <c r="E307" s="324">
        <f t="shared" si="7"/>
        <v>222.04048895344471</v>
      </c>
    </row>
    <row r="308" spans="1:5" ht="18">
      <c r="A308" s="334" t="s">
        <v>919</v>
      </c>
      <c r="B308" s="321" t="s">
        <v>751</v>
      </c>
      <c r="C308" s="369">
        <v>1</v>
      </c>
      <c r="D308" s="405">
        <v>281.7186592088724</v>
      </c>
      <c r="E308" s="324">
        <f t="shared" si="7"/>
        <v>281.7186592088724</v>
      </c>
    </row>
    <row r="309" spans="1:5" ht="18">
      <c r="A309" s="334" t="s">
        <v>920</v>
      </c>
      <c r="B309" s="321" t="s">
        <v>751</v>
      </c>
      <c r="C309" s="369">
        <v>1</v>
      </c>
      <c r="D309" s="405">
        <v>433.82972593815958</v>
      </c>
      <c r="E309" s="324">
        <f t="shared" si="7"/>
        <v>433.82972593815958</v>
      </c>
    </row>
    <row r="310" spans="1:5" ht="18">
      <c r="A310" s="334" t="s">
        <v>921</v>
      </c>
      <c r="B310" s="321" t="s">
        <v>751</v>
      </c>
      <c r="C310" s="369">
        <v>1</v>
      </c>
      <c r="D310" s="405">
        <v>3876.6883921403437</v>
      </c>
      <c r="E310" s="324">
        <f t="shared" si="7"/>
        <v>3876.6883921403437</v>
      </c>
    </row>
    <row r="311" spans="1:5" ht="18">
      <c r="A311" s="334" t="s">
        <v>921</v>
      </c>
      <c r="B311" s="321" t="s">
        <v>751</v>
      </c>
      <c r="C311" s="369">
        <v>1</v>
      </c>
      <c r="D311" s="405">
        <v>3876.6883921403437</v>
      </c>
      <c r="E311" s="324">
        <f t="shared" si="7"/>
        <v>3876.6883921403437</v>
      </c>
    </row>
    <row r="312" spans="1:5" ht="18">
      <c r="A312" s="334" t="s">
        <v>922</v>
      </c>
      <c r="B312" s="321" t="s">
        <v>751</v>
      </c>
      <c r="C312" s="369">
        <v>2</v>
      </c>
      <c r="D312" s="405">
        <v>488.22574689048326</v>
      </c>
      <c r="E312" s="324">
        <f t="shared" si="7"/>
        <v>976.45149378096653</v>
      </c>
    </row>
    <row r="313" spans="1:5" ht="18">
      <c r="A313" s="334" t="s">
        <v>923</v>
      </c>
      <c r="B313" s="321" t="s">
        <v>751</v>
      </c>
      <c r="C313" s="369">
        <v>2</v>
      </c>
      <c r="D313" s="405">
        <v>351.21897918802648</v>
      </c>
      <c r="E313" s="324">
        <f t="shared" si="7"/>
        <v>702.43795837605296</v>
      </c>
    </row>
    <row r="314" spans="1:5" ht="18">
      <c r="A314" s="356" t="s">
        <v>924</v>
      </c>
      <c r="B314" s="321" t="s">
        <v>751</v>
      </c>
      <c r="C314" s="378">
        <v>6</v>
      </c>
      <c r="D314" s="405">
        <v>1484.729231845125</v>
      </c>
      <c r="E314" s="324">
        <f t="shared" si="7"/>
        <v>8908.3753910707492</v>
      </c>
    </row>
    <row r="315" spans="1:5" ht="18">
      <c r="A315" s="379" t="s">
        <v>925</v>
      </c>
      <c r="B315" s="321" t="s">
        <v>751</v>
      </c>
      <c r="C315" s="359">
        <v>2</v>
      </c>
      <c r="D315" s="406">
        <v>2354</v>
      </c>
      <c r="E315" s="324">
        <f t="shared" si="7"/>
        <v>4708</v>
      </c>
    </row>
    <row r="316" spans="1:5" ht="18">
      <c r="A316" s="379" t="s">
        <v>926</v>
      </c>
      <c r="B316" s="321" t="s">
        <v>751</v>
      </c>
      <c r="C316" s="359">
        <v>1</v>
      </c>
      <c r="D316" s="406">
        <v>9750</v>
      </c>
      <c r="E316" s="324">
        <f t="shared" si="7"/>
        <v>9750</v>
      </c>
    </row>
    <row r="317" spans="1:5" ht="18">
      <c r="A317" s="379" t="s">
        <v>927</v>
      </c>
      <c r="B317" s="321" t="s">
        <v>751</v>
      </c>
      <c r="C317" s="359">
        <v>1</v>
      </c>
      <c r="D317" s="406">
        <v>1950</v>
      </c>
      <c r="E317" s="324">
        <f t="shared" si="7"/>
        <v>1950</v>
      </c>
    </row>
    <row r="318" spans="1:5" ht="36">
      <c r="A318" s="379" t="s">
        <v>928</v>
      </c>
      <c r="B318" s="321" t="s">
        <v>751</v>
      </c>
      <c r="C318" s="359">
        <v>1</v>
      </c>
      <c r="D318" s="406">
        <v>1150</v>
      </c>
      <c r="E318" s="324">
        <f t="shared" si="7"/>
        <v>1150</v>
      </c>
    </row>
    <row r="319" spans="1:5" ht="18">
      <c r="A319" s="379" t="s">
        <v>929</v>
      </c>
      <c r="B319" s="321" t="s">
        <v>751</v>
      </c>
      <c r="C319" s="359">
        <v>1</v>
      </c>
      <c r="D319" s="406">
        <v>2372.2399999999998</v>
      </c>
      <c r="E319" s="324">
        <f t="shared" si="7"/>
        <v>2372.2399999999998</v>
      </c>
    </row>
    <row r="320" spans="1:5" ht="18">
      <c r="A320" s="380" t="s">
        <v>930</v>
      </c>
      <c r="B320" s="321"/>
      <c r="C320" s="359"/>
      <c r="D320" s="406"/>
      <c r="E320" s="324"/>
    </row>
    <row r="321" spans="1:5" ht="18">
      <c r="A321" s="381" t="s">
        <v>931</v>
      </c>
      <c r="B321" s="321" t="s">
        <v>751</v>
      </c>
      <c r="C321" s="382">
        <v>200</v>
      </c>
      <c r="D321" s="401">
        <v>600</v>
      </c>
      <c r="E321" s="383">
        <f>C321*D321</f>
        <v>120000</v>
      </c>
    </row>
    <row r="322" spans="1:5" ht="18">
      <c r="A322" s="381" t="s">
        <v>932</v>
      </c>
      <c r="B322" s="321" t="s">
        <v>751</v>
      </c>
      <c r="C322" s="382">
        <v>97</v>
      </c>
      <c r="D322" s="401">
        <v>110</v>
      </c>
      <c r="E322" s="383">
        <f t="shared" ref="E322:E357" si="8">C322*D322</f>
        <v>10670</v>
      </c>
    </row>
    <row r="323" spans="1:5" ht="18">
      <c r="A323" s="381" t="s">
        <v>933</v>
      </c>
      <c r="B323" s="321" t="s">
        <v>751</v>
      </c>
      <c r="C323" s="382">
        <v>26</v>
      </c>
      <c r="D323" s="401">
        <v>50.2</v>
      </c>
      <c r="E323" s="383">
        <f t="shared" si="8"/>
        <v>1305.2</v>
      </c>
    </row>
    <row r="324" spans="1:5" ht="18">
      <c r="A324" s="381" t="s">
        <v>934</v>
      </c>
      <c r="B324" s="321" t="s">
        <v>751</v>
      </c>
      <c r="C324" s="382">
        <v>357</v>
      </c>
      <c r="D324" s="401">
        <v>20</v>
      </c>
      <c r="E324" s="383">
        <f t="shared" si="8"/>
        <v>7140</v>
      </c>
    </row>
    <row r="325" spans="1:5" ht="18">
      <c r="A325" s="384" t="s">
        <v>935</v>
      </c>
      <c r="B325" s="321" t="s">
        <v>751</v>
      </c>
      <c r="C325" s="382">
        <v>94</v>
      </c>
      <c r="D325" s="401">
        <v>10</v>
      </c>
      <c r="E325" s="383">
        <f t="shared" si="8"/>
        <v>940</v>
      </c>
    </row>
    <row r="326" spans="1:5" ht="18">
      <c r="A326" s="384" t="s">
        <v>936</v>
      </c>
      <c r="B326" s="321" t="s">
        <v>751</v>
      </c>
      <c r="C326" s="382">
        <v>79</v>
      </c>
      <c r="D326" s="401">
        <v>24</v>
      </c>
      <c r="E326" s="383">
        <f t="shared" si="8"/>
        <v>1896</v>
      </c>
    </row>
    <row r="327" spans="1:5" ht="18">
      <c r="A327" s="384" t="s">
        <v>937</v>
      </c>
      <c r="B327" s="321" t="s">
        <v>751</v>
      </c>
      <c r="C327" s="382">
        <v>232</v>
      </c>
      <c r="D327" s="401">
        <v>13</v>
      </c>
      <c r="E327" s="383">
        <f t="shared" si="8"/>
        <v>3016</v>
      </c>
    </row>
    <row r="328" spans="1:5" ht="18">
      <c r="A328" s="384" t="s">
        <v>938</v>
      </c>
      <c r="B328" s="321" t="s">
        <v>751</v>
      </c>
      <c r="C328" s="382">
        <v>84</v>
      </c>
      <c r="D328" s="401">
        <v>18</v>
      </c>
      <c r="E328" s="383">
        <f t="shared" si="8"/>
        <v>1512</v>
      </c>
    </row>
    <row r="329" spans="1:5" ht="18">
      <c r="A329" s="384" t="s">
        <v>939</v>
      </c>
      <c r="B329" s="321" t="s">
        <v>751</v>
      </c>
      <c r="C329" s="382">
        <v>8</v>
      </c>
      <c r="D329" s="401">
        <v>72</v>
      </c>
      <c r="E329" s="383">
        <f t="shared" si="8"/>
        <v>576</v>
      </c>
    </row>
    <row r="330" spans="1:5" ht="18">
      <c r="A330" s="381" t="s">
        <v>940</v>
      </c>
      <c r="B330" s="321" t="s">
        <v>751</v>
      </c>
      <c r="C330" s="382">
        <v>3300</v>
      </c>
      <c r="D330" s="401">
        <v>1.5</v>
      </c>
      <c r="E330" s="383">
        <f t="shared" si="8"/>
        <v>4950</v>
      </c>
    </row>
    <row r="331" spans="1:5" ht="18">
      <c r="A331" s="381" t="s">
        <v>941</v>
      </c>
      <c r="B331" s="321" t="s">
        <v>751</v>
      </c>
      <c r="C331" s="382">
        <v>10</v>
      </c>
      <c r="D331" s="401">
        <v>185</v>
      </c>
      <c r="E331" s="383">
        <f t="shared" si="8"/>
        <v>1850</v>
      </c>
    </row>
    <row r="332" spans="1:5" ht="18">
      <c r="A332" s="381" t="s">
        <v>942</v>
      </c>
      <c r="B332" s="321" t="s">
        <v>751</v>
      </c>
      <c r="C332" s="382">
        <v>41</v>
      </c>
      <c r="D332" s="401">
        <v>21.5</v>
      </c>
      <c r="E332" s="383">
        <f t="shared" si="8"/>
        <v>881.5</v>
      </c>
    </row>
    <row r="333" spans="1:5" ht="18">
      <c r="A333" s="381" t="s">
        <v>943</v>
      </c>
      <c r="B333" s="321" t="s">
        <v>751</v>
      </c>
      <c r="C333" s="382">
        <v>100</v>
      </c>
      <c r="D333" s="401">
        <v>200</v>
      </c>
      <c r="E333" s="383">
        <f t="shared" si="8"/>
        <v>20000</v>
      </c>
    </row>
    <row r="334" spans="1:5" ht="18">
      <c r="A334" s="381" t="s">
        <v>944</v>
      </c>
      <c r="B334" s="321" t="s">
        <v>751</v>
      </c>
      <c r="C334" s="382">
        <v>2</v>
      </c>
      <c r="D334" s="401">
        <v>640</v>
      </c>
      <c r="E334" s="383">
        <f t="shared" si="8"/>
        <v>1280</v>
      </c>
    </row>
    <row r="335" spans="1:5" ht="18">
      <c r="A335" s="381" t="s">
        <v>945</v>
      </c>
      <c r="B335" s="321" t="s">
        <v>751</v>
      </c>
      <c r="C335" s="382">
        <v>200</v>
      </c>
      <c r="D335" s="401">
        <v>84</v>
      </c>
      <c r="E335" s="383">
        <f t="shared" si="8"/>
        <v>16800</v>
      </c>
    </row>
    <row r="336" spans="1:5" ht="18">
      <c r="A336" s="381" t="s">
        <v>946</v>
      </c>
      <c r="B336" s="321" t="s">
        <v>751</v>
      </c>
      <c r="C336" s="382">
        <v>100</v>
      </c>
      <c r="D336" s="401">
        <v>6</v>
      </c>
      <c r="E336" s="383">
        <f t="shared" si="8"/>
        <v>600</v>
      </c>
    </row>
    <row r="337" spans="1:5" ht="18">
      <c r="A337" s="381" t="s">
        <v>947</v>
      </c>
      <c r="B337" s="321" t="s">
        <v>751</v>
      </c>
      <c r="C337" s="382">
        <v>100</v>
      </c>
      <c r="D337" s="401">
        <v>30</v>
      </c>
      <c r="E337" s="383">
        <f t="shared" si="8"/>
        <v>3000</v>
      </c>
    </row>
    <row r="338" spans="1:5" ht="18">
      <c r="A338" s="381" t="s">
        <v>948</v>
      </c>
      <c r="B338" s="321" t="s">
        <v>751</v>
      </c>
      <c r="C338" s="382">
        <v>50</v>
      </c>
      <c r="D338" s="401">
        <v>24</v>
      </c>
      <c r="E338" s="383">
        <f t="shared" si="8"/>
        <v>1200</v>
      </c>
    </row>
    <row r="339" spans="1:5" ht="18">
      <c r="A339" s="381" t="s">
        <v>949</v>
      </c>
      <c r="B339" s="321" t="s">
        <v>751</v>
      </c>
      <c r="C339" s="382">
        <v>20</v>
      </c>
      <c r="D339" s="401">
        <v>114</v>
      </c>
      <c r="E339" s="383">
        <f t="shared" si="8"/>
        <v>2280</v>
      </c>
    </row>
    <row r="340" spans="1:5" ht="18">
      <c r="A340" s="381" t="s">
        <v>950</v>
      </c>
      <c r="B340" s="321" t="s">
        <v>751</v>
      </c>
      <c r="C340" s="382">
        <v>20</v>
      </c>
      <c r="D340" s="401">
        <v>16</v>
      </c>
      <c r="E340" s="383">
        <f t="shared" si="8"/>
        <v>320</v>
      </c>
    </row>
    <row r="341" spans="1:5" ht="18">
      <c r="A341" s="381" t="s">
        <v>951</v>
      </c>
      <c r="B341" s="321" t="s">
        <v>751</v>
      </c>
      <c r="C341" s="382">
        <v>10</v>
      </c>
      <c r="D341" s="401">
        <v>45</v>
      </c>
      <c r="E341" s="383">
        <f t="shared" si="8"/>
        <v>450</v>
      </c>
    </row>
    <row r="342" spans="1:5" ht="18">
      <c r="A342" s="95"/>
      <c r="B342" s="298"/>
      <c r="C342" s="298"/>
      <c r="D342" s="407"/>
      <c r="E342" s="383">
        <f>SUM(E321:E341)</f>
        <v>200666.7</v>
      </c>
    </row>
    <row r="343" spans="1:5" ht="18">
      <c r="A343" s="95" t="s">
        <v>966</v>
      </c>
      <c r="B343" s="298" t="s">
        <v>751</v>
      </c>
      <c r="C343" s="298">
        <v>5</v>
      </c>
      <c r="D343" s="407">
        <v>3000</v>
      </c>
      <c r="E343" s="383">
        <f t="shared" si="8"/>
        <v>15000</v>
      </c>
    </row>
    <row r="344" spans="1:5" ht="18">
      <c r="A344" s="95" t="s">
        <v>995</v>
      </c>
      <c r="B344" s="298" t="s">
        <v>751</v>
      </c>
      <c r="C344" s="298">
        <v>10</v>
      </c>
      <c r="D344" s="298">
        <v>1000</v>
      </c>
      <c r="E344" s="383">
        <f t="shared" si="8"/>
        <v>10000</v>
      </c>
    </row>
    <row r="345" spans="1:5" ht="18">
      <c r="A345" s="95" t="s">
        <v>967</v>
      </c>
      <c r="B345" s="298" t="s">
        <v>751</v>
      </c>
      <c r="C345" s="298">
        <v>50</v>
      </c>
      <c r="D345" s="298">
        <v>200</v>
      </c>
      <c r="E345" s="383">
        <f t="shared" si="8"/>
        <v>10000</v>
      </c>
    </row>
    <row r="346" spans="1:5" ht="18">
      <c r="A346" s="95" t="s">
        <v>892</v>
      </c>
      <c r="B346" s="298" t="s">
        <v>751</v>
      </c>
      <c r="C346" s="298">
        <v>10</v>
      </c>
      <c r="D346" s="298">
        <v>300</v>
      </c>
      <c r="E346" s="383">
        <f t="shared" si="8"/>
        <v>3000</v>
      </c>
    </row>
    <row r="347" spans="1:5" ht="18">
      <c r="A347" s="95" t="s">
        <v>973</v>
      </c>
      <c r="B347" s="298" t="s">
        <v>751</v>
      </c>
      <c r="C347" s="298">
        <v>40</v>
      </c>
      <c r="D347" s="298">
        <v>100</v>
      </c>
      <c r="E347" s="383">
        <f t="shared" si="8"/>
        <v>4000</v>
      </c>
    </row>
    <row r="348" spans="1:5" ht="18">
      <c r="A348" s="95" t="s">
        <v>974</v>
      </c>
      <c r="B348" s="298" t="s">
        <v>751</v>
      </c>
      <c r="C348" s="298">
        <v>15</v>
      </c>
      <c r="D348" s="298">
        <v>100</v>
      </c>
      <c r="E348" s="383">
        <f t="shared" si="8"/>
        <v>1500</v>
      </c>
    </row>
    <row r="349" spans="1:5" ht="18">
      <c r="A349" s="95" t="s">
        <v>975</v>
      </c>
      <c r="B349" s="298" t="s">
        <v>751</v>
      </c>
      <c r="C349" s="298">
        <v>3</v>
      </c>
      <c r="D349" s="298">
        <v>400</v>
      </c>
      <c r="E349" s="383">
        <f t="shared" si="8"/>
        <v>1200</v>
      </c>
    </row>
    <row r="350" spans="1:5" ht="18">
      <c r="A350" s="95" t="s">
        <v>976</v>
      </c>
      <c r="B350" s="298"/>
      <c r="C350" s="298">
        <v>10</v>
      </c>
      <c r="D350" s="298">
        <v>100</v>
      </c>
      <c r="E350" s="383">
        <f t="shared" si="8"/>
        <v>1000</v>
      </c>
    </row>
    <row r="351" spans="1:5" ht="18">
      <c r="A351" s="95" t="s">
        <v>977</v>
      </c>
      <c r="B351" s="298"/>
      <c r="C351" s="298">
        <v>10</v>
      </c>
      <c r="D351" s="298">
        <v>100</v>
      </c>
      <c r="E351" s="383">
        <f t="shared" si="8"/>
        <v>1000</v>
      </c>
    </row>
    <row r="352" spans="1:5" ht="18">
      <c r="A352" s="95" t="s">
        <v>978</v>
      </c>
      <c r="B352" s="298"/>
      <c r="C352" s="298">
        <v>10</v>
      </c>
      <c r="D352" s="298">
        <v>200</v>
      </c>
      <c r="E352" s="383">
        <f t="shared" si="8"/>
        <v>2000</v>
      </c>
    </row>
    <row r="353" spans="1:5" ht="18">
      <c r="A353" s="95" t="s">
        <v>979</v>
      </c>
      <c r="B353" s="298"/>
      <c r="C353" s="298">
        <v>10</v>
      </c>
      <c r="D353" s="298">
        <v>300</v>
      </c>
      <c r="E353" s="383">
        <f t="shared" si="8"/>
        <v>3000</v>
      </c>
    </row>
    <row r="354" spans="1:5" ht="18">
      <c r="A354" s="95" t="s">
        <v>980</v>
      </c>
      <c r="B354" s="298"/>
      <c r="C354" s="298">
        <v>10</v>
      </c>
      <c r="D354" s="298">
        <v>2000</v>
      </c>
      <c r="E354" s="383">
        <f t="shared" si="8"/>
        <v>20000</v>
      </c>
    </row>
    <row r="355" spans="1:5" ht="18">
      <c r="A355" s="95" t="s">
        <v>981</v>
      </c>
      <c r="B355" s="298"/>
      <c r="C355" s="298">
        <v>100</v>
      </c>
      <c r="D355" s="298">
        <v>200</v>
      </c>
      <c r="E355" s="383">
        <f t="shared" si="8"/>
        <v>20000</v>
      </c>
    </row>
    <row r="356" spans="1:5" ht="18">
      <c r="A356" s="95"/>
      <c r="B356" s="298"/>
      <c r="C356" s="298"/>
      <c r="D356" s="298"/>
      <c r="E356" s="383">
        <f t="shared" si="8"/>
        <v>0</v>
      </c>
    </row>
    <row r="357" spans="1:5" ht="18">
      <c r="A357" s="47"/>
      <c r="B357" s="47"/>
      <c r="C357" s="47"/>
      <c r="D357" s="49"/>
      <c r="E357" s="383">
        <f t="shared" si="8"/>
        <v>0</v>
      </c>
    </row>
    <row r="358" spans="1:5">
      <c r="A358" s="52" t="s">
        <v>89</v>
      </c>
      <c r="B358" s="52" t="s">
        <v>6</v>
      </c>
      <c r="C358" s="52" t="s">
        <v>6</v>
      </c>
      <c r="D358" s="53" t="s">
        <v>6</v>
      </c>
      <c r="E358" s="53">
        <f>SUM(E231:E357)</f>
        <v>874553.61444636248</v>
      </c>
    </row>
    <row r="360" spans="1:5" ht="17.399999999999999">
      <c r="A360" s="555" t="s">
        <v>115</v>
      </c>
      <c r="B360" s="555"/>
      <c r="C360" s="555"/>
      <c r="D360" s="555"/>
      <c r="E360" s="555"/>
    </row>
    <row r="361" spans="1:5" ht="18">
      <c r="A361" s="558" t="s">
        <v>952</v>
      </c>
      <c r="B361" s="558"/>
      <c r="C361" s="558"/>
      <c r="D361" s="558"/>
      <c r="E361" s="558"/>
    </row>
    <row r="362" spans="1:5" ht="90">
      <c r="A362" s="320" t="s">
        <v>117</v>
      </c>
      <c r="B362" s="321" t="s">
        <v>7</v>
      </c>
      <c r="C362" s="321" t="s">
        <v>0</v>
      </c>
      <c r="D362" s="321" t="s">
        <v>1</v>
      </c>
      <c r="E362" s="321" t="s">
        <v>4</v>
      </c>
    </row>
    <row r="363" spans="1:5" ht="18">
      <c r="A363" s="381" t="s">
        <v>953</v>
      </c>
      <c r="B363" s="366" t="s">
        <v>751</v>
      </c>
      <c r="C363" s="385">
        <v>10000</v>
      </c>
      <c r="D363" s="401">
        <v>36</v>
      </c>
      <c r="E363" s="383">
        <f>C363*D363</f>
        <v>360000</v>
      </c>
    </row>
    <row r="364" spans="1:5" ht="18">
      <c r="A364" s="381" t="s">
        <v>954</v>
      </c>
      <c r="B364" s="366" t="s">
        <v>751</v>
      </c>
      <c r="C364" s="385">
        <f>250*4</f>
        <v>1000</v>
      </c>
      <c r="D364" s="401">
        <v>32</v>
      </c>
      <c r="E364" s="383">
        <f>C364*D364</f>
        <v>32000</v>
      </c>
    </row>
    <row r="365" spans="1:5" ht="18">
      <c r="A365" s="381" t="s">
        <v>955</v>
      </c>
      <c r="B365" s="366" t="s">
        <v>751</v>
      </c>
      <c r="C365" s="385">
        <v>10000</v>
      </c>
      <c r="D365" s="401">
        <v>35</v>
      </c>
      <c r="E365" s="383">
        <f t="shared" ref="E365:E372" si="9">C365*D365</f>
        <v>350000</v>
      </c>
    </row>
    <row r="366" spans="1:5" ht="18">
      <c r="A366" s="381" t="s">
        <v>956</v>
      </c>
      <c r="B366" s="366" t="s">
        <v>751</v>
      </c>
      <c r="C366" s="385">
        <v>5000</v>
      </c>
      <c r="D366" s="401">
        <v>39</v>
      </c>
      <c r="E366" s="383">
        <f t="shared" si="9"/>
        <v>195000</v>
      </c>
    </row>
    <row r="367" spans="1:5" ht="18">
      <c r="A367" s="384" t="s">
        <v>957</v>
      </c>
      <c r="B367" s="366" t="s">
        <v>751</v>
      </c>
      <c r="C367" s="385">
        <v>477.08600000000001</v>
      </c>
      <c r="D367" s="401">
        <v>180</v>
      </c>
      <c r="E367" s="383">
        <f t="shared" si="9"/>
        <v>85875.48</v>
      </c>
    </row>
    <row r="368" spans="1:5" ht="18">
      <c r="A368" s="384" t="s">
        <v>958</v>
      </c>
      <c r="B368" s="366" t="s">
        <v>751</v>
      </c>
      <c r="C368" s="385">
        <v>37.365000000000002</v>
      </c>
      <c r="D368" s="401">
        <v>500</v>
      </c>
      <c r="E368" s="383">
        <f t="shared" si="9"/>
        <v>18682.5</v>
      </c>
    </row>
    <row r="369" spans="1:5" ht="18">
      <c r="A369" s="384" t="s">
        <v>959</v>
      </c>
      <c r="B369" s="366" t="s">
        <v>751</v>
      </c>
      <c r="C369" s="385">
        <v>245.92400000000001</v>
      </c>
      <c r="D369" s="401">
        <v>213</v>
      </c>
      <c r="E369" s="383">
        <f t="shared" si="9"/>
        <v>52381.811999999998</v>
      </c>
    </row>
    <row r="370" spans="1:5" ht="18">
      <c r="A370" s="384" t="s">
        <v>960</v>
      </c>
      <c r="B370" s="366" t="s">
        <v>751</v>
      </c>
      <c r="C370" s="385">
        <v>391.53300000000002</v>
      </c>
      <c r="D370" s="401">
        <v>150</v>
      </c>
      <c r="E370" s="383">
        <f t="shared" si="9"/>
        <v>58729.950000000004</v>
      </c>
    </row>
    <row r="371" spans="1:5" ht="18">
      <c r="A371" s="384" t="s">
        <v>961</v>
      </c>
      <c r="B371" s="366" t="s">
        <v>751</v>
      </c>
      <c r="C371" s="385">
        <v>2.9609999999999999</v>
      </c>
      <c r="D371" s="401">
        <v>2200</v>
      </c>
      <c r="E371" s="383">
        <f t="shared" si="9"/>
        <v>6514.2</v>
      </c>
    </row>
    <row r="372" spans="1:5" ht="18">
      <c r="A372" s="381" t="s">
        <v>268</v>
      </c>
      <c r="B372" s="366" t="s">
        <v>751</v>
      </c>
      <c r="C372" s="385">
        <v>100</v>
      </c>
      <c r="D372" s="401">
        <v>150</v>
      </c>
      <c r="E372" s="383">
        <f t="shared" si="9"/>
        <v>15000</v>
      </c>
    </row>
    <row r="373" spans="1:5" ht="18">
      <c r="A373" s="384" t="s">
        <v>962</v>
      </c>
      <c r="B373" s="366" t="s">
        <v>751</v>
      </c>
      <c r="C373" s="385">
        <v>2500</v>
      </c>
      <c r="D373" s="401">
        <v>11</v>
      </c>
      <c r="E373" s="383">
        <f>C373*D373-299.89</f>
        <v>27200.11</v>
      </c>
    </row>
    <row r="374" spans="1:5" ht="18">
      <c r="A374" s="384" t="s">
        <v>1075</v>
      </c>
      <c r="B374" s="366" t="s">
        <v>751</v>
      </c>
      <c r="C374" s="385">
        <v>300</v>
      </c>
      <c r="D374" s="401">
        <v>90</v>
      </c>
      <c r="E374" s="383">
        <f t="shared" ref="E374:E377" si="10">C374*D374-299.89</f>
        <v>26700.11</v>
      </c>
    </row>
    <row r="375" spans="1:5" ht="18">
      <c r="A375" s="384" t="s">
        <v>1076</v>
      </c>
      <c r="B375" s="366" t="s">
        <v>751</v>
      </c>
      <c r="C375" s="385">
        <v>100</v>
      </c>
      <c r="D375" s="401">
        <v>200</v>
      </c>
      <c r="E375" s="383">
        <f t="shared" si="10"/>
        <v>19700.11</v>
      </c>
    </row>
    <row r="376" spans="1:5" ht="18">
      <c r="A376" s="384" t="s">
        <v>1077</v>
      </c>
      <c r="B376" s="366" t="s">
        <v>751</v>
      </c>
      <c r="C376" s="385">
        <v>400</v>
      </c>
      <c r="D376" s="401">
        <v>440</v>
      </c>
      <c r="E376" s="383">
        <f t="shared" si="10"/>
        <v>175700.11</v>
      </c>
    </row>
    <row r="377" spans="1:5" ht="18">
      <c r="A377" s="384" t="s">
        <v>1078</v>
      </c>
      <c r="B377" s="366" t="s">
        <v>751</v>
      </c>
      <c r="C377" s="385">
        <v>300</v>
      </c>
      <c r="D377" s="401">
        <v>17</v>
      </c>
      <c r="E377" s="383">
        <f t="shared" si="10"/>
        <v>4800.1099999999997</v>
      </c>
    </row>
    <row r="378" spans="1:5" ht="18">
      <c r="A378" s="325" t="s">
        <v>89</v>
      </c>
      <c r="B378" s="325" t="s">
        <v>6</v>
      </c>
      <c r="C378" s="325" t="s">
        <v>6</v>
      </c>
      <c r="D378" s="326" t="s">
        <v>6</v>
      </c>
      <c r="E378" s="326">
        <f>SUM(E363:E373)</f>
        <v>1201384.0519999999</v>
      </c>
    </row>
    <row r="381" spans="1:5" hidden="1"/>
    <row r="382" spans="1:5" hidden="1"/>
    <row r="383" spans="1:5" hidden="1"/>
    <row r="384" spans="1:5" hidden="1"/>
    <row r="385" spans="1:5" hidden="1"/>
    <row r="386" spans="1:5" hidden="1"/>
    <row r="387" spans="1:5" hidden="1"/>
    <row r="388" spans="1:5" hidden="1"/>
    <row r="389" spans="1:5" hidden="1"/>
    <row r="390" spans="1:5" hidden="1"/>
    <row r="391" spans="1:5" hidden="1"/>
    <row r="392" spans="1:5" hidden="1"/>
    <row r="394" spans="1:5">
      <c r="A394" s="557" t="s">
        <v>119</v>
      </c>
      <c r="B394" s="557"/>
      <c r="C394" s="557"/>
      <c r="D394" s="557"/>
      <c r="E394" s="557"/>
    </row>
    <row r="395" spans="1:5" ht="50.4" customHeight="1">
      <c r="A395" s="95" t="s">
        <v>117</v>
      </c>
      <c r="B395" s="95" t="s">
        <v>7</v>
      </c>
      <c r="C395" s="298" t="s">
        <v>0</v>
      </c>
      <c r="D395" s="298" t="s">
        <v>1</v>
      </c>
      <c r="E395" s="298" t="s">
        <v>4</v>
      </c>
    </row>
    <row r="396" spans="1:5">
      <c r="A396" s="47"/>
      <c r="B396" s="47"/>
      <c r="C396" s="47"/>
      <c r="D396" s="49"/>
      <c r="E396" s="49">
        <f>C396*D396</f>
        <v>0</v>
      </c>
    </row>
    <row r="397" spans="1:5">
      <c r="A397" s="136"/>
      <c r="B397" s="52" t="s">
        <v>6</v>
      </c>
      <c r="C397" s="52" t="s">
        <v>6</v>
      </c>
      <c r="D397" s="52" t="s">
        <v>6</v>
      </c>
      <c r="E397" s="53"/>
    </row>
    <row r="399" spans="1:5">
      <c r="A399" s="557" t="s">
        <v>118</v>
      </c>
      <c r="B399" s="557"/>
      <c r="C399" s="557"/>
      <c r="D399" s="557"/>
      <c r="E399" s="557"/>
    </row>
    <row r="400" spans="1:5" ht="67.2">
      <c r="A400" s="95" t="s">
        <v>117</v>
      </c>
      <c r="B400" s="95" t="s">
        <v>7</v>
      </c>
      <c r="C400" s="47" t="s">
        <v>0</v>
      </c>
      <c r="D400" s="47" t="s">
        <v>1</v>
      </c>
      <c r="E400" s="47" t="s">
        <v>4</v>
      </c>
    </row>
    <row r="401" spans="1:5">
      <c r="A401" s="47"/>
      <c r="B401" s="47"/>
      <c r="C401" s="47"/>
      <c r="D401" s="49"/>
      <c r="E401" s="49">
        <f>C401*D401</f>
        <v>0</v>
      </c>
    </row>
    <row r="402" spans="1:5">
      <c r="A402" s="136"/>
      <c r="B402" s="52" t="s">
        <v>6</v>
      </c>
      <c r="C402" s="52" t="s">
        <v>6</v>
      </c>
      <c r="D402" s="52" t="s">
        <v>6</v>
      </c>
      <c r="E402" s="53"/>
    </row>
    <row r="405" spans="1:5">
      <c r="A405" s="44" t="s">
        <v>116</v>
      </c>
    </row>
  </sheetData>
  <mergeCells count="24">
    <mergeCell ref="A173:H173"/>
    <mergeCell ref="A172:E172"/>
    <mergeCell ref="A394:E394"/>
    <mergeCell ref="A399:E399"/>
    <mergeCell ref="A204:E204"/>
    <mergeCell ref="A203:E203"/>
    <mergeCell ref="A229:E229"/>
    <mergeCell ref="A228:E228"/>
    <mergeCell ref="A360:E360"/>
    <mergeCell ref="A361:E361"/>
    <mergeCell ref="A110:E110"/>
    <mergeCell ref="A125:E125"/>
    <mergeCell ref="A124:E124"/>
    <mergeCell ref="A60:E60"/>
    <mergeCell ref="C1:E1"/>
    <mergeCell ref="A4:E4"/>
    <mergeCell ref="A9:E9"/>
    <mergeCell ref="A10:E10"/>
    <mergeCell ref="A28:E28"/>
    <mergeCell ref="A27:E27"/>
    <mergeCell ref="A59:E59"/>
    <mergeCell ref="A109:E109"/>
    <mergeCell ref="A118:E118"/>
    <mergeCell ref="A119:E119"/>
  </mergeCells>
  <pageMargins left="0.43" right="0.2" top="0.42" bottom="0.47" header="0.31496062992125984" footer="0.57999999999999996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59"/>
  <sheetViews>
    <sheetView topLeftCell="A4" zoomScale="85" zoomScaleNormal="85" workbookViewId="0">
      <selection activeCell="F3" sqref="F3"/>
    </sheetView>
  </sheetViews>
  <sheetFormatPr defaultRowHeight="15.6"/>
  <cols>
    <col min="1" max="1" width="35.59765625" style="97" customWidth="1"/>
    <col min="2" max="2" width="45.69921875" style="96" customWidth="1"/>
    <col min="3" max="3" width="23.3984375" customWidth="1"/>
    <col min="4" max="4" width="16.5" customWidth="1"/>
  </cols>
  <sheetData>
    <row r="1" spans="1:4">
      <c r="A1" t="s">
        <v>228</v>
      </c>
    </row>
    <row r="2" spans="1:4">
      <c r="A2" t="s">
        <v>229</v>
      </c>
    </row>
    <row r="3" spans="1:4">
      <c r="A3" t="s">
        <v>230</v>
      </c>
    </row>
    <row r="4" spans="1:4">
      <c r="A4" t="s">
        <v>231</v>
      </c>
    </row>
    <row r="5" spans="1:4">
      <c r="A5" t="s">
        <v>232</v>
      </c>
    </row>
    <row r="6" spans="1:4">
      <c r="A6" t="s">
        <v>233</v>
      </c>
    </row>
    <row r="7" spans="1:4">
      <c r="A7" t="s">
        <v>234</v>
      </c>
    </row>
    <row r="8" spans="1:4">
      <c r="A8" t="s">
        <v>235</v>
      </c>
    </row>
    <row r="9" spans="1:4">
      <c r="A9"/>
    </row>
    <row r="10" spans="1:4" ht="31.2">
      <c r="A10" s="99" t="s">
        <v>236</v>
      </c>
      <c r="B10" s="100" t="s">
        <v>237</v>
      </c>
      <c r="C10" s="100" t="s">
        <v>282</v>
      </c>
      <c r="D10" s="99" t="s">
        <v>283</v>
      </c>
    </row>
    <row r="11" spans="1:4">
      <c r="A11" s="91"/>
      <c r="B11" s="98" t="s">
        <v>238</v>
      </c>
      <c r="C11" s="89"/>
      <c r="D11" s="89"/>
    </row>
    <row r="12" spans="1:4">
      <c r="A12" s="91" t="s">
        <v>239</v>
      </c>
      <c r="B12" s="98">
        <v>150</v>
      </c>
      <c r="C12" s="122"/>
      <c r="D12" s="122">
        <f>B12/1000*C12</f>
        <v>0</v>
      </c>
    </row>
    <row r="13" spans="1:4">
      <c r="A13" s="91" t="s">
        <v>240</v>
      </c>
      <c r="B13" s="98">
        <v>150</v>
      </c>
      <c r="C13" s="122"/>
      <c r="D13" s="122">
        <f t="shared" ref="D13:D53" si="0">B13/1000*C13</f>
        <v>0</v>
      </c>
    </row>
    <row r="14" spans="1:4">
      <c r="A14" s="91" t="s">
        <v>241</v>
      </c>
      <c r="B14" s="98">
        <v>10</v>
      </c>
      <c r="C14" s="122"/>
      <c r="D14" s="122">
        <f t="shared" si="0"/>
        <v>0</v>
      </c>
    </row>
    <row r="15" spans="1:4">
      <c r="A15" s="91" t="s">
        <v>242</v>
      </c>
      <c r="B15" s="98">
        <v>5</v>
      </c>
      <c r="C15" s="122"/>
      <c r="D15" s="122">
        <f t="shared" si="0"/>
        <v>0</v>
      </c>
    </row>
    <row r="16" spans="1:4">
      <c r="A16" s="91" t="s">
        <v>243</v>
      </c>
      <c r="B16" s="98">
        <v>20</v>
      </c>
      <c r="C16" s="122"/>
      <c r="D16" s="122">
        <f t="shared" si="0"/>
        <v>0</v>
      </c>
    </row>
    <row r="17" spans="1:4" ht="46.8">
      <c r="A17" s="91" t="s">
        <v>244</v>
      </c>
      <c r="B17" s="98">
        <v>80</v>
      </c>
      <c r="C17" s="122"/>
      <c r="D17" s="122">
        <f t="shared" si="0"/>
        <v>0</v>
      </c>
    </row>
    <row r="18" spans="1:4">
      <c r="A18" s="91" t="s">
        <v>245</v>
      </c>
      <c r="B18" s="98">
        <v>300</v>
      </c>
      <c r="C18" s="122"/>
      <c r="D18" s="122">
        <f t="shared" si="0"/>
        <v>0</v>
      </c>
    </row>
    <row r="19" spans="1:4">
      <c r="A19" s="91" t="s">
        <v>246</v>
      </c>
      <c r="B19" s="98">
        <v>366.7</v>
      </c>
      <c r="C19" s="122"/>
      <c r="D19" s="122">
        <f t="shared" si="0"/>
        <v>0</v>
      </c>
    </row>
    <row r="20" spans="1:4">
      <c r="A20" s="91" t="s">
        <v>247</v>
      </c>
      <c r="B20" s="98">
        <v>65</v>
      </c>
      <c r="C20" s="122"/>
      <c r="D20" s="122">
        <f t="shared" si="0"/>
        <v>0</v>
      </c>
    </row>
    <row r="21" spans="1:4">
      <c r="A21" s="91" t="s">
        <v>248</v>
      </c>
      <c r="B21" s="98">
        <v>70</v>
      </c>
      <c r="C21" s="122"/>
      <c r="D21" s="122">
        <f t="shared" si="0"/>
        <v>0</v>
      </c>
    </row>
    <row r="22" spans="1:4">
      <c r="A22" s="91" t="s">
        <v>249</v>
      </c>
      <c r="B22" s="98">
        <v>187.5</v>
      </c>
      <c r="C22" s="122"/>
      <c r="D22" s="122">
        <f t="shared" si="0"/>
        <v>0</v>
      </c>
    </row>
    <row r="23" spans="1:4">
      <c r="A23" s="91" t="s">
        <v>250</v>
      </c>
      <c r="B23" s="98">
        <v>24</v>
      </c>
      <c r="C23" s="122"/>
      <c r="D23" s="122">
        <f t="shared" si="0"/>
        <v>0</v>
      </c>
    </row>
    <row r="24" spans="1:4">
      <c r="A24" s="91" t="s">
        <v>251</v>
      </c>
      <c r="B24" s="98">
        <v>15.2</v>
      </c>
      <c r="C24" s="122"/>
      <c r="D24" s="122">
        <f t="shared" si="0"/>
        <v>0</v>
      </c>
    </row>
    <row r="25" spans="1:4" ht="62.4">
      <c r="A25" s="91" t="s">
        <v>252</v>
      </c>
      <c r="B25" s="98">
        <v>62.5</v>
      </c>
      <c r="C25" s="122"/>
      <c r="D25" s="122">
        <f t="shared" si="0"/>
        <v>0</v>
      </c>
    </row>
    <row r="26" spans="1:4" ht="31.2">
      <c r="A26" s="91" t="s">
        <v>253</v>
      </c>
      <c r="B26" s="98">
        <v>18.8</v>
      </c>
      <c r="C26" s="122"/>
      <c r="D26" s="122">
        <f t="shared" si="0"/>
        <v>0</v>
      </c>
    </row>
    <row r="27" spans="1:4">
      <c r="A27" s="91" t="s">
        <v>254</v>
      </c>
      <c r="B27" s="98">
        <v>20</v>
      </c>
      <c r="C27" s="122"/>
      <c r="D27" s="122">
        <f t="shared" si="0"/>
        <v>0</v>
      </c>
    </row>
    <row r="28" spans="1:4" ht="31.2">
      <c r="A28" s="91" t="s">
        <v>255</v>
      </c>
      <c r="B28" s="98">
        <v>38</v>
      </c>
      <c r="C28" s="122"/>
      <c r="D28" s="122">
        <f t="shared" si="0"/>
        <v>0</v>
      </c>
    </row>
    <row r="29" spans="1:4">
      <c r="A29" s="91" t="s">
        <v>256</v>
      </c>
      <c r="B29" s="98">
        <v>150</v>
      </c>
      <c r="C29" s="122"/>
      <c r="D29" s="122">
        <f t="shared" si="0"/>
        <v>0</v>
      </c>
    </row>
    <row r="30" spans="1:4" ht="31.2">
      <c r="A30" s="91" t="s">
        <v>257</v>
      </c>
      <c r="B30" s="98">
        <v>20.399999999999999</v>
      </c>
      <c r="C30" s="122"/>
      <c r="D30" s="122">
        <f t="shared" si="0"/>
        <v>0</v>
      </c>
    </row>
    <row r="31" spans="1:4">
      <c r="A31" s="91" t="s">
        <v>258</v>
      </c>
      <c r="B31" s="98">
        <v>100</v>
      </c>
      <c r="C31" s="122"/>
      <c r="D31" s="122">
        <f t="shared" si="0"/>
        <v>0</v>
      </c>
    </row>
    <row r="32" spans="1:4">
      <c r="A32" s="91" t="s">
        <v>259</v>
      </c>
      <c r="B32" s="98">
        <v>127.7</v>
      </c>
      <c r="C32" s="122"/>
      <c r="D32" s="122">
        <f t="shared" si="0"/>
        <v>0</v>
      </c>
    </row>
    <row r="33" spans="1:4">
      <c r="A33" s="91" t="s">
        <v>260</v>
      </c>
      <c r="B33" s="98">
        <v>25</v>
      </c>
      <c r="C33" s="122"/>
      <c r="D33" s="122">
        <f t="shared" si="0"/>
        <v>0</v>
      </c>
    </row>
    <row r="34" spans="1:4">
      <c r="A34" s="91" t="s">
        <v>261</v>
      </c>
      <c r="B34" s="98">
        <v>12</v>
      </c>
      <c r="C34" s="122"/>
      <c r="D34" s="122">
        <f t="shared" si="0"/>
        <v>0</v>
      </c>
    </row>
    <row r="35" spans="1:4" ht="31.2">
      <c r="A35" s="91" t="s">
        <v>262</v>
      </c>
      <c r="B35" s="98">
        <v>59.1</v>
      </c>
      <c r="C35" s="122"/>
      <c r="D35" s="122">
        <f t="shared" si="0"/>
        <v>0</v>
      </c>
    </row>
    <row r="36" spans="1:4">
      <c r="A36" s="91" t="s">
        <v>263</v>
      </c>
      <c r="B36" s="98">
        <v>20.399999999999999</v>
      </c>
      <c r="C36" s="122"/>
      <c r="D36" s="122">
        <f t="shared" si="0"/>
        <v>0</v>
      </c>
    </row>
    <row r="37" spans="1:4">
      <c r="A37" s="91" t="s">
        <v>264</v>
      </c>
      <c r="B37" s="98">
        <v>16</v>
      </c>
      <c r="C37" s="122"/>
      <c r="D37" s="122">
        <f t="shared" si="0"/>
        <v>0</v>
      </c>
    </row>
    <row r="38" spans="1:4">
      <c r="A38" s="91" t="s">
        <v>284</v>
      </c>
      <c r="B38" s="123">
        <v>0.5</v>
      </c>
      <c r="C38" s="122"/>
      <c r="D38" s="122">
        <f>B38/10*C38</f>
        <v>0</v>
      </c>
    </row>
    <row r="39" spans="1:4" ht="46.8">
      <c r="A39" s="91" t="s">
        <v>265</v>
      </c>
      <c r="B39" s="98">
        <v>125</v>
      </c>
      <c r="C39" s="122"/>
      <c r="D39" s="122">
        <f t="shared" si="0"/>
        <v>0</v>
      </c>
    </row>
    <row r="40" spans="1:4">
      <c r="A40" s="91" t="s">
        <v>266</v>
      </c>
      <c r="B40" s="98">
        <v>211</v>
      </c>
      <c r="C40" s="122"/>
      <c r="D40" s="122">
        <f t="shared" si="0"/>
        <v>0</v>
      </c>
    </row>
    <row r="41" spans="1:4">
      <c r="A41" s="91" t="s">
        <v>267</v>
      </c>
      <c r="B41" s="98">
        <v>20</v>
      </c>
      <c r="C41" s="122"/>
      <c r="D41" s="122">
        <f t="shared" si="0"/>
        <v>0</v>
      </c>
    </row>
    <row r="42" spans="1:4">
      <c r="A42" s="91" t="s">
        <v>268</v>
      </c>
      <c r="B42" s="98">
        <v>20</v>
      </c>
      <c r="C42" s="122"/>
      <c r="D42" s="122">
        <f t="shared" si="0"/>
        <v>0</v>
      </c>
    </row>
    <row r="43" spans="1:4">
      <c r="A43" s="91" t="s">
        <v>269</v>
      </c>
      <c r="B43" s="98">
        <v>15</v>
      </c>
      <c r="C43" s="122"/>
      <c r="D43" s="122">
        <f t="shared" si="0"/>
        <v>0</v>
      </c>
    </row>
    <row r="44" spans="1:4" ht="31.2">
      <c r="A44" s="91" t="s">
        <v>270</v>
      </c>
      <c r="B44" s="98">
        <v>50</v>
      </c>
      <c r="C44" s="122"/>
      <c r="D44" s="122">
        <f t="shared" si="0"/>
        <v>0</v>
      </c>
    </row>
    <row r="45" spans="1:4">
      <c r="A45" s="91" t="s">
        <v>271</v>
      </c>
      <c r="B45" s="98">
        <v>2</v>
      </c>
      <c r="C45" s="122"/>
      <c r="D45" s="122">
        <f t="shared" si="0"/>
        <v>0</v>
      </c>
    </row>
    <row r="46" spans="1:4">
      <c r="A46" s="91" t="s">
        <v>272</v>
      </c>
      <c r="B46" s="98">
        <v>1.4</v>
      </c>
      <c r="C46" s="122"/>
      <c r="D46" s="122">
        <f t="shared" si="0"/>
        <v>0</v>
      </c>
    </row>
    <row r="47" spans="1:4">
      <c r="A47" s="91" t="s">
        <v>273</v>
      </c>
      <c r="B47" s="98">
        <v>0.5</v>
      </c>
      <c r="C47" s="122"/>
      <c r="D47" s="122">
        <f t="shared" si="0"/>
        <v>0</v>
      </c>
    </row>
    <row r="48" spans="1:4">
      <c r="A48" s="91" t="s">
        <v>274</v>
      </c>
      <c r="B48" s="98">
        <v>0.25</v>
      </c>
      <c r="C48" s="122"/>
      <c r="D48" s="122">
        <f t="shared" si="0"/>
        <v>0</v>
      </c>
    </row>
    <row r="49" spans="1:4">
      <c r="A49" s="91" t="s">
        <v>275</v>
      </c>
      <c r="B49" s="98">
        <v>6</v>
      </c>
      <c r="C49" s="122"/>
      <c r="D49" s="122">
        <f t="shared" si="0"/>
        <v>0</v>
      </c>
    </row>
    <row r="50" spans="1:4">
      <c r="A50" s="91" t="s">
        <v>276</v>
      </c>
      <c r="B50" s="98">
        <v>3</v>
      </c>
      <c r="C50" s="122"/>
      <c r="D50" s="122">
        <f t="shared" si="0"/>
        <v>0</v>
      </c>
    </row>
    <row r="51" spans="1:4">
      <c r="A51" s="91" t="s">
        <v>277</v>
      </c>
      <c r="B51" s="98">
        <v>15</v>
      </c>
      <c r="C51" s="122"/>
      <c r="D51" s="122">
        <f t="shared" si="0"/>
        <v>0</v>
      </c>
    </row>
    <row r="52" spans="1:4">
      <c r="A52" s="91" t="s">
        <v>278</v>
      </c>
      <c r="B52" s="98" t="s">
        <v>279</v>
      </c>
      <c r="C52" s="122"/>
      <c r="D52" s="122"/>
    </row>
    <row r="53" spans="1:4" ht="31.2">
      <c r="A53" s="91" t="s">
        <v>280</v>
      </c>
      <c r="B53" s="98"/>
      <c r="C53" s="122"/>
      <c r="D53" s="122">
        <f t="shared" si="0"/>
        <v>0</v>
      </c>
    </row>
    <row r="54" spans="1:4">
      <c r="A54" s="91"/>
      <c r="B54" s="98"/>
      <c r="C54" s="89"/>
      <c r="D54" s="89"/>
    </row>
    <row r="55" spans="1:4" ht="31.2">
      <c r="A55" s="124" t="s">
        <v>285</v>
      </c>
      <c r="B55" s="125" t="s">
        <v>6</v>
      </c>
      <c r="C55" s="125" t="s">
        <v>6</v>
      </c>
      <c r="D55" s="126">
        <f>SUM(D12:D53)</f>
        <v>0</v>
      </c>
    </row>
    <row r="57" spans="1:4">
      <c r="A57" s="97" t="s">
        <v>286</v>
      </c>
    </row>
    <row r="59" spans="1:4" ht="31.2">
      <c r="A59" s="97" t="s">
        <v>287</v>
      </c>
      <c r="D59" s="127">
        <f>D55*D57/1000</f>
        <v>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1"/>
  <sheetViews>
    <sheetView topLeftCell="A11" workbookViewId="0">
      <selection activeCell="F35" sqref="F35"/>
    </sheetView>
  </sheetViews>
  <sheetFormatPr defaultRowHeight="15.6"/>
  <cols>
    <col min="1" max="1" width="28.09765625" bestFit="1" customWidth="1"/>
    <col min="2" max="2" width="10.09765625" customWidth="1"/>
    <col min="3" max="3" width="19.8984375" customWidth="1"/>
    <col min="4" max="4" width="15" customWidth="1"/>
    <col min="6" max="6" width="11.09765625" customWidth="1"/>
    <col min="8" max="8" width="6.3984375" customWidth="1"/>
  </cols>
  <sheetData>
    <row r="1" spans="1:8">
      <c r="A1" t="s">
        <v>288</v>
      </c>
    </row>
    <row r="2" spans="1:8">
      <c r="A2" t="s">
        <v>225</v>
      </c>
    </row>
    <row r="3" spans="1:8">
      <c r="A3" t="s">
        <v>226</v>
      </c>
    </row>
    <row r="4" spans="1:8">
      <c r="A4" t="s">
        <v>227</v>
      </c>
    </row>
    <row r="5" spans="1:8">
      <c r="A5" t="s">
        <v>289</v>
      </c>
    </row>
    <row r="7" spans="1:8">
      <c r="A7" t="s">
        <v>290</v>
      </c>
    </row>
    <row r="8" spans="1:8">
      <c r="A8" t="s">
        <v>291</v>
      </c>
    </row>
    <row r="9" spans="1:8">
      <c r="A9" t="s">
        <v>292</v>
      </c>
    </row>
    <row r="10" spans="1:8">
      <c r="A10" t="s">
        <v>293</v>
      </c>
    </row>
    <row r="11" spans="1:8">
      <c r="A11" t="s">
        <v>294</v>
      </c>
    </row>
    <row r="12" spans="1:8">
      <c r="A12" t="s">
        <v>295</v>
      </c>
    </row>
    <row r="13" spans="1:8">
      <c r="A13" t="s">
        <v>296</v>
      </c>
    </row>
    <row r="14" spans="1:8">
      <c r="A14" t="s">
        <v>297</v>
      </c>
    </row>
    <row r="16" spans="1:8" s="121" customFormat="1" ht="62.4">
      <c r="A16" s="99" t="s">
        <v>298</v>
      </c>
      <c r="B16" s="99" t="s">
        <v>299</v>
      </c>
      <c r="C16" s="99" t="s">
        <v>300</v>
      </c>
      <c r="D16" s="99" t="s">
        <v>316</v>
      </c>
      <c r="E16" s="99" t="s">
        <v>315</v>
      </c>
      <c r="F16" s="99" t="s">
        <v>317</v>
      </c>
      <c r="G16" s="99" t="s">
        <v>281</v>
      </c>
      <c r="H16" s="99" t="s">
        <v>155</v>
      </c>
    </row>
    <row r="17" spans="1:8">
      <c r="A17" s="89"/>
      <c r="B17" s="89"/>
      <c r="C17" s="98" t="s">
        <v>301</v>
      </c>
      <c r="D17" s="128">
        <v>207</v>
      </c>
      <c r="E17" s="89"/>
      <c r="F17" s="89"/>
      <c r="G17" s="89"/>
      <c r="H17" s="89"/>
    </row>
    <row r="18" spans="1:8">
      <c r="A18" s="89" t="s">
        <v>302</v>
      </c>
      <c r="B18" s="89" t="s">
        <v>303</v>
      </c>
      <c r="C18" s="98">
        <v>3</v>
      </c>
      <c r="D18" s="89">
        <f>C18*D$17</f>
        <v>621</v>
      </c>
      <c r="E18" s="89"/>
      <c r="F18" s="89">
        <f>D18-E18</f>
        <v>621</v>
      </c>
      <c r="G18" s="89"/>
      <c r="H18" s="89">
        <f>F18*G18</f>
        <v>0</v>
      </c>
    </row>
    <row r="19" spans="1:8">
      <c r="A19" s="89" t="s">
        <v>304</v>
      </c>
      <c r="B19" s="89" t="s">
        <v>303</v>
      </c>
      <c r="C19" s="98">
        <v>2</v>
      </c>
      <c r="D19" s="89">
        <f t="shared" ref="D19:D29" si="0">C19*D$17</f>
        <v>414</v>
      </c>
      <c r="E19" s="89"/>
      <c r="F19" s="89">
        <f t="shared" ref="F19:F29" si="1">D19-E19</f>
        <v>414</v>
      </c>
      <c r="G19" s="89"/>
      <c r="H19" s="89">
        <f t="shared" ref="H19:H29" si="2">F19*G19</f>
        <v>0</v>
      </c>
    </row>
    <row r="20" spans="1:8">
      <c r="A20" s="89" t="s">
        <v>305</v>
      </c>
      <c r="B20" s="89" t="s">
        <v>303</v>
      </c>
      <c r="C20" s="98">
        <v>2</v>
      </c>
      <c r="D20" s="89">
        <f t="shared" si="0"/>
        <v>414</v>
      </c>
      <c r="E20" s="89"/>
      <c r="F20" s="89">
        <f t="shared" si="1"/>
        <v>414</v>
      </c>
      <c r="G20" s="89"/>
      <c r="H20" s="89">
        <f t="shared" si="2"/>
        <v>0</v>
      </c>
    </row>
    <row r="21" spans="1:8">
      <c r="A21" s="89" t="s">
        <v>306</v>
      </c>
      <c r="B21" s="89" t="s">
        <v>303</v>
      </c>
      <c r="C21" s="98">
        <v>5</v>
      </c>
      <c r="D21" s="89">
        <f t="shared" si="0"/>
        <v>1035</v>
      </c>
      <c r="E21" s="89"/>
      <c r="F21" s="89">
        <f t="shared" si="1"/>
        <v>1035</v>
      </c>
      <c r="G21" s="89"/>
      <c r="H21" s="89">
        <f t="shared" si="2"/>
        <v>0</v>
      </c>
    </row>
    <row r="22" spans="1:8">
      <c r="A22" s="89" t="s">
        <v>307</v>
      </c>
      <c r="B22" s="89" t="s">
        <v>303</v>
      </c>
      <c r="C22" s="98">
        <v>2</v>
      </c>
      <c r="D22" s="89">
        <f t="shared" si="0"/>
        <v>414</v>
      </c>
      <c r="E22" s="89"/>
      <c r="F22" s="89">
        <f t="shared" si="1"/>
        <v>414</v>
      </c>
      <c r="G22" s="89"/>
      <c r="H22" s="89">
        <f t="shared" si="2"/>
        <v>0</v>
      </c>
    </row>
    <row r="23" spans="1:8">
      <c r="A23" s="89" t="s">
        <v>308</v>
      </c>
      <c r="B23" s="89" t="s">
        <v>303</v>
      </c>
      <c r="C23" s="98">
        <v>1</v>
      </c>
      <c r="D23" s="89">
        <f t="shared" si="0"/>
        <v>207</v>
      </c>
      <c r="E23" s="89"/>
      <c r="F23" s="89">
        <f t="shared" si="1"/>
        <v>207</v>
      </c>
      <c r="G23" s="89"/>
      <c r="H23" s="89">
        <f t="shared" si="2"/>
        <v>0</v>
      </c>
    </row>
    <row r="24" spans="1:8">
      <c r="A24" s="89" t="s">
        <v>309</v>
      </c>
      <c r="B24" s="89" t="s">
        <v>303</v>
      </c>
      <c r="C24" s="98">
        <v>1</v>
      </c>
      <c r="D24" s="89">
        <f t="shared" si="0"/>
        <v>207</v>
      </c>
      <c r="E24" s="89"/>
      <c r="F24" s="89">
        <f t="shared" si="1"/>
        <v>207</v>
      </c>
      <c r="G24" s="89"/>
      <c r="H24" s="89">
        <f t="shared" si="2"/>
        <v>0</v>
      </c>
    </row>
    <row r="25" spans="1:8">
      <c r="A25" s="89" t="s">
        <v>310</v>
      </c>
      <c r="B25" s="89" t="s">
        <v>303</v>
      </c>
      <c r="C25" s="98">
        <v>1</v>
      </c>
      <c r="D25" s="89">
        <f t="shared" si="0"/>
        <v>207</v>
      </c>
      <c r="E25" s="89"/>
      <c r="F25" s="89">
        <f t="shared" si="1"/>
        <v>207</v>
      </c>
      <c r="G25" s="89"/>
      <c r="H25" s="89">
        <f t="shared" si="2"/>
        <v>0</v>
      </c>
    </row>
    <row r="26" spans="1:8">
      <c r="A26" s="89" t="s">
        <v>311</v>
      </c>
      <c r="B26" s="89" t="s">
        <v>303</v>
      </c>
      <c r="C26" s="98">
        <v>2</v>
      </c>
      <c r="D26" s="89">
        <f t="shared" si="0"/>
        <v>414</v>
      </c>
      <c r="E26" s="89"/>
      <c r="F26" s="89">
        <f t="shared" si="1"/>
        <v>414</v>
      </c>
      <c r="G26" s="89"/>
      <c r="H26" s="89">
        <f t="shared" si="2"/>
        <v>0</v>
      </c>
    </row>
    <row r="27" spans="1:8">
      <c r="A27" s="89" t="s">
        <v>312</v>
      </c>
      <c r="B27" s="89" t="s">
        <v>303</v>
      </c>
      <c r="C27" s="98">
        <v>2</v>
      </c>
      <c r="D27" s="89">
        <f t="shared" si="0"/>
        <v>414</v>
      </c>
      <c r="E27" s="89"/>
      <c r="F27" s="89">
        <f t="shared" si="1"/>
        <v>414</v>
      </c>
      <c r="G27" s="89"/>
      <c r="H27" s="89">
        <f t="shared" si="2"/>
        <v>0</v>
      </c>
    </row>
    <row r="28" spans="1:8">
      <c r="A28" s="89" t="s">
        <v>313</v>
      </c>
      <c r="B28" s="89" t="s">
        <v>303</v>
      </c>
      <c r="C28" s="98">
        <v>2</v>
      </c>
      <c r="D28" s="89">
        <f t="shared" si="0"/>
        <v>414</v>
      </c>
      <c r="E28" s="89"/>
      <c r="F28" s="89">
        <f t="shared" si="1"/>
        <v>414</v>
      </c>
      <c r="G28" s="89"/>
      <c r="H28" s="89">
        <f t="shared" si="2"/>
        <v>0</v>
      </c>
    </row>
    <row r="29" spans="1:8">
      <c r="A29" s="89" t="s">
        <v>314</v>
      </c>
      <c r="B29" s="89" t="s">
        <v>303</v>
      </c>
      <c r="C29" s="98">
        <v>1</v>
      </c>
      <c r="D29" s="89">
        <f t="shared" si="0"/>
        <v>207</v>
      </c>
      <c r="E29" s="89"/>
      <c r="F29" s="89">
        <f t="shared" si="1"/>
        <v>207</v>
      </c>
      <c r="G29" s="89"/>
      <c r="H29" s="89">
        <f t="shared" si="2"/>
        <v>0</v>
      </c>
    </row>
    <row r="31" spans="1:8">
      <c r="G31" t="s">
        <v>164</v>
      </c>
      <c r="H31">
        <f>SUM(H17:H29)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1:E9"/>
  <sheetViews>
    <sheetView workbookViewId="0">
      <selection activeCell="E10" sqref="E10"/>
    </sheetView>
  </sheetViews>
  <sheetFormatPr defaultColWidth="9" defaultRowHeight="16.8"/>
  <cols>
    <col min="1" max="1" width="9" style="55"/>
    <col min="2" max="2" width="22.3984375" style="55" customWidth="1"/>
    <col min="3" max="3" width="19.3984375" style="55" customWidth="1"/>
    <col min="4" max="4" width="12.09765625" style="55" customWidth="1"/>
    <col min="5" max="5" width="11.69921875" style="55" customWidth="1"/>
    <col min="6" max="16384" width="9" style="55"/>
  </cols>
  <sheetData>
    <row r="1" spans="2:5" ht="147.75" customHeight="1">
      <c r="C1" s="542" t="s">
        <v>350</v>
      </c>
      <c r="D1" s="542"/>
      <c r="E1" s="542"/>
    </row>
    <row r="2" spans="2:5">
      <c r="E2" s="56" t="s">
        <v>179</v>
      </c>
    </row>
    <row r="4" spans="2:5">
      <c r="B4" s="559" t="s">
        <v>128</v>
      </c>
      <c r="C4" s="559"/>
      <c r="D4" s="559"/>
      <c r="E4" s="559"/>
    </row>
    <row r="6" spans="2:5" ht="33.6">
      <c r="B6" s="59" t="s">
        <v>129</v>
      </c>
      <c r="C6" s="59" t="s">
        <v>133</v>
      </c>
      <c r="D6" s="59" t="s">
        <v>134</v>
      </c>
      <c r="E6" s="59" t="s">
        <v>135</v>
      </c>
    </row>
    <row r="7" spans="2:5" ht="33.6">
      <c r="B7" s="72" t="s">
        <v>131</v>
      </c>
      <c r="C7" s="58"/>
      <c r="D7" s="58"/>
      <c r="E7" s="58"/>
    </row>
    <row r="8" spans="2:5">
      <c r="B8" s="72" t="s">
        <v>130</v>
      </c>
      <c r="C8" s="58"/>
      <c r="D8" s="58"/>
      <c r="E8" s="58"/>
    </row>
    <row r="9" spans="2:5">
      <c r="B9" s="72" t="s">
        <v>132</v>
      </c>
      <c r="C9" s="58"/>
      <c r="D9" s="58"/>
      <c r="E9" s="58">
        <v>500000</v>
      </c>
    </row>
  </sheetData>
  <mergeCells count="2">
    <mergeCell ref="B4:E4"/>
    <mergeCell ref="C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15"/>
  <sheetViews>
    <sheetView workbookViewId="0">
      <selection activeCell="M15" sqref="M15"/>
    </sheetView>
  </sheetViews>
  <sheetFormatPr defaultRowHeight="15.6"/>
  <sheetData>
    <row r="1" spans="1:15">
      <c r="B1" t="s">
        <v>1011</v>
      </c>
    </row>
    <row r="2" spans="1:15" ht="62.4">
      <c r="A2" s="299"/>
      <c r="B2" s="299" t="s">
        <v>688</v>
      </c>
      <c r="C2" s="299" t="s">
        <v>281</v>
      </c>
      <c r="D2" s="299" t="s">
        <v>689</v>
      </c>
      <c r="E2" s="299" t="s">
        <v>690</v>
      </c>
      <c r="F2" s="299" t="s">
        <v>281</v>
      </c>
      <c r="G2" s="299" t="s">
        <v>689</v>
      </c>
      <c r="H2" s="299" t="s">
        <v>691</v>
      </c>
      <c r="I2" s="299" t="s">
        <v>692</v>
      </c>
      <c r="J2" s="299"/>
      <c r="K2" s="444" t="s">
        <v>1049</v>
      </c>
      <c r="L2" s="299" t="s">
        <v>171</v>
      </c>
      <c r="M2" s="444" t="s">
        <v>1050</v>
      </c>
      <c r="O2" s="445" t="s">
        <v>1051</v>
      </c>
    </row>
    <row r="3" spans="1:15">
      <c r="A3" s="394">
        <v>44562</v>
      </c>
      <c r="B3" s="89">
        <v>62878</v>
      </c>
      <c r="C3" s="89">
        <v>3.5291999999999999</v>
      </c>
      <c r="D3" s="89">
        <v>240283.46</v>
      </c>
      <c r="E3" s="89">
        <v>5748</v>
      </c>
      <c r="F3" s="89">
        <v>5.04</v>
      </c>
      <c r="G3" s="89">
        <v>34805.699999999997</v>
      </c>
      <c r="H3" s="89">
        <f>B3+E3</f>
        <v>68626</v>
      </c>
      <c r="I3" s="89">
        <f>D3+G3</f>
        <v>275089.15999999997</v>
      </c>
      <c r="J3" s="89"/>
      <c r="K3" s="89">
        <f>H3</f>
        <v>68626</v>
      </c>
      <c r="L3" s="89">
        <f t="shared" ref="L3:L14" si="0">K3*5.1</f>
        <v>349992.6</v>
      </c>
      <c r="M3" s="89">
        <v>62878</v>
      </c>
    </row>
    <row r="4" spans="1:15">
      <c r="A4" s="394">
        <v>44593</v>
      </c>
      <c r="B4" s="89">
        <v>59355</v>
      </c>
      <c r="C4" s="89">
        <v>3.63157</v>
      </c>
      <c r="D4" s="89">
        <v>258662.2</v>
      </c>
      <c r="E4" s="89">
        <v>1238</v>
      </c>
      <c r="F4" s="89">
        <v>5.1484300000000003</v>
      </c>
      <c r="G4" s="89">
        <v>7648.51</v>
      </c>
      <c r="H4" s="89">
        <f t="shared" ref="H4:H14" si="1">B4+E4</f>
        <v>60593</v>
      </c>
      <c r="I4" s="89">
        <f t="shared" ref="I4:I14" si="2">D4+G4</f>
        <v>266310.71000000002</v>
      </c>
      <c r="J4" s="89"/>
      <c r="K4" s="89">
        <f t="shared" ref="K4:K14" si="3">H4</f>
        <v>60593</v>
      </c>
      <c r="L4" s="89">
        <f t="shared" si="0"/>
        <v>309024.3</v>
      </c>
      <c r="M4" s="89">
        <v>55933</v>
      </c>
    </row>
    <row r="5" spans="1:15">
      <c r="A5" s="394">
        <v>44621</v>
      </c>
      <c r="B5" s="89">
        <v>60773</v>
      </c>
      <c r="C5" s="89">
        <v>3.4721600000000001</v>
      </c>
      <c r="D5" s="89">
        <v>253216.3</v>
      </c>
      <c r="E5" s="89">
        <v>1063</v>
      </c>
      <c r="F5" s="89">
        <v>4.98902</v>
      </c>
      <c r="G5" s="89">
        <v>6363.9</v>
      </c>
      <c r="H5" s="89">
        <f t="shared" si="1"/>
        <v>61836</v>
      </c>
      <c r="I5" s="89">
        <f t="shared" si="2"/>
        <v>259580.19999999998</v>
      </c>
      <c r="J5" s="89"/>
      <c r="K5" s="89">
        <f t="shared" si="3"/>
        <v>61836</v>
      </c>
      <c r="L5" s="89">
        <f t="shared" si="0"/>
        <v>315363.59999999998</v>
      </c>
      <c r="M5" s="89">
        <v>59108</v>
      </c>
    </row>
    <row r="6" spans="1:15">
      <c r="A6" s="394">
        <v>44652</v>
      </c>
      <c r="B6" s="89">
        <v>53230</v>
      </c>
      <c r="C6" s="89">
        <v>3.49498</v>
      </c>
      <c r="D6" s="89">
        <v>223245.34</v>
      </c>
      <c r="E6" s="89">
        <v>686</v>
      </c>
      <c r="F6" s="89">
        <v>5.0118400000000003</v>
      </c>
      <c r="G6" s="89">
        <v>4125.75</v>
      </c>
      <c r="H6" s="89">
        <f t="shared" si="1"/>
        <v>53916</v>
      </c>
      <c r="I6" s="89">
        <f t="shared" si="2"/>
        <v>227371.09</v>
      </c>
      <c r="J6" s="89"/>
      <c r="K6" s="89">
        <f t="shared" si="3"/>
        <v>53916</v>
      </c>
      <c r="L6" s="89">
        <f t="shared" si="0"/>
        <v>274971.59999999998</v>
      </c>
      <c r="M6" s="89">
        <v>53886</v>
      </c>
    </row>
    <row r="7" spans="1:15">
      <c r="A7" s="394">
        <v>44682</v>
      </c>
      <c r="B7" s="89">
        <v>43338</v>
      </c>
      <c r="C7" s="89">
        <v>3.65408</v>
      </c>
      <c r="D7" s="89">
        <v>190032.62</v>
      </c>
      <c r="E7" s="89">
        <v>443</v>
      </c>
      <c r="F7" s="89">
        <v>5.1709399999999999</v>
      </c>
      <c r="G7" s="89">
        <v>2748.87</v>
      </c>
      <c r="H7" s="89">
        <f t="shared" si="1"/>
        <v>43781</v>
      </c>
      <c r="I7" s="89">
        <f t="shared" si="2"/>
        <v>192781.49</v>
      </c>
      <c r="J7" s="89"/>
      <c r="K7" s="89">
        <f t="shared" si="3"/>
        <v>43781</v>
      </c>
      <c r="L7" s="89">
        <f t="shared" si="0"/>
        <v>223283.09999999998</v>
      </c>
      <c r="M7" s="89">
        <v>54986</v>
      </c>
    </row>
    <row r="8" spans="1:15">
      <c r="A8" s="394">
        <v>44713</v>
      </c>
      <c r="B8" s="89">
        <v>33516</v>
      </c>
      <c r="C8" s="89">
        <v>3.8243800000000001</v>
      </c>
      <c r="D8" s="89">
        <v>153813.5</v>
      </c>
      <c r="E8" s="89">
        <v>327</v>
      </c>
      <c r="F8" s="89">
        <v>5.34124</v>
      </c>
      <c r="G8" s="89">
        <v>2095.9</v>
      </c>
      <c r="H8" s="89">
        <f t="shared" si="1"/>
        <v>33843</v>
      </c>
      <c r="I8" s="89">
        <f t="shared" si="2"/>
        <v>155909.4</v>
      </c>
      <c r="J8" s="89"/>
      <c r="K8" s="89">
        <f t="shared" si="3"/>
        <v>33843</v>
      </c>
      <c r="L8" s="89">
        <f t="shared" si="0"/>
        <v>172599.3</v>
      </c>
      <c r="M8" s="89">
        <v>36073</v>
      </c>
    </row>
    <row r="9" spans="1:15">
      <c r="A9" s="394">
        <v>44743</v>
      </c>
      <c r="B9" s="89">
        <v>31634</v>
      </c>
      <c r="C9" s="89">
        <v>4.0212899999999996</v>
      </c>
      <c r="D9" s="89">
        <v>152651.39000000001</v>
      </c>
      <c r="E9" s="89">
        <v>263</v>
      </c>
      <c r="F9" s="89">
        <v>5.5957800000000004</v>
      </c>
      <c r="G9" s="89">
        <v>1766.03</v>
      </c>
      <c r="H9" s="89">
        <f t="shared" si="1"/>
        <v>31897</v>
      </c>
      <c r="I9" s="89">
        <f t="shared" si="2"/>
        <v>154417.42000000001</v>
      </c>
      <c r="J9" s="89"/>
      <c r="K9" s="89">
        <f t="shared" si="3"/>
        <v>31897</v>
      </c>
      <c r="L9" s="89">
        <f t="shared" si="0"/>
        <v>162674.69999999998</v>
      </c>
      <c r="M9" s="89">
        <v>35491</v>
      </c>
    </row>
    <row r="10" spans="1:15">
      <c r="A10" s="394">
        <v>44774</v>
      </c>
      <c r="B10" s="89">
        <v>33475</v>
      </c>
      <c r="C10" s="89">
        <v>4.0093300000000003</v>
      </c>
      <c r="D10" s="89">
        <v>161054.78</v>
      </c>
      <c r="E10" s="89">
        <v>328</v>
      </c>
      <c r="F10" s="89">
        <v>5.5839999999999996</v>
      </c>
      <c r="G10" s="89">
        <v>2197.8000000000002</v>
      </c>
      <c r="H10" s="89">
        <f t="shared" si="1"/>
        <v>33803</v>
      </c>
      <c r="I10" s="89">
        <f t="shared" si="2"/>
        <v>163252.57999999999</v>
      </c>
      <c r="J10" s="89"/>
      <c r="K10" s="89">
        <f t="shared" si="3"/>
        <v>33803</v>
      </c>
      <c r="L10" s="89">
        <f t="shared" si="0"/>
        <v>172395.3</v>
      </c>
      <c r="M10" s="89">
        <v>35261</v>
      </c>
    </row>
    <row r="11" spans="1:15">
      <c r="A11" s="394">
        <v>44805</v>
      </c>
      <c r="B11" s="89">
        <v>47025</v>
      </c>
      <c r="C11" s="89">
        <v>3.9194499999999999</v>
      </c>
      <c r="D11" s="89">
        <v>221174.57</v>
      </c>
      <c r="E11" s="89">
        <v>470</v>
      </c>
      <c r="F11" s="89">
        <v>5.4939600000000004</v>
      </c>
      <c r="G11" s="89">
        <v>3098.59</v>
      </c>
      <c r="H11" s="89">
        <f t="shared" si="1"/>
        <v>47495</v>
      </c>
      <c r="I11" s="89">
        <f t="shared" si="2"/>
        <v>224273.16</v>
      </c>
      <c r="J11" s="89"/>
      <c r="K11" s="89">
        <f t="shared" si="3"/>
        <v>47495</v>
      </c>
      <c r="L11" s="89">
        <f t="shared" si="0"/>
        <v>242224.49999999997</v>
      </c>
      <c r="M11" s="89">
        <v>36766</v>
      </c>
    </row>
    <row r="12" spans="1:15">
      <c r="A12" s="394">
        <v>44835</v>
      </c>
      <c r="B12" s="89">
        <v>54039</v>
      </c>
      <c r="C12" s="89">
        <v>3.6441400000000002</v>
      </c>
      <c r="D12" s="89">
        <v>236310.82</v>
      </c>
      <c r="E12" s="89">
        <v>720</v>
      </c>
      <c r="F12" s="89">
        <v>5.2186399999999997</v>
      </c>
      <c r="G12" s="89">
        <v>4508.8999999999996</v>
      </c>
      <c r="H12" s="89">
        <f t="shared" si="1"/>
        <v>54759</v>
      </c>
      <c r="I12" s="89">
        <f t="shared" si="2"/>
        <v>240819.72</v>
      </c>
      <c r="J12" s="89"/>
      <c r="K12" s="89">
        <f t="shared" si="3"/>
        <v>54759</v>
      </c>
      <c r="L12" s="89">
        <f t="shared" si="0"/>
        <v>279270.89999999997</v>
      </c>
      <c r="M12" s="89">
        <v>42124</v>
      </c>
    </row>
    <row r="13" spans="1:15">
      <c r="A13" s="395">
        <v>44866</v>
      </c>
      <c r="B13" s="396">
        <v>60000</v>
      </c>
      <c r="C13" s="396">
        <v>3.7</v>
      </c>
      <c r="D13" s="396">
        <f>B13*C13*1.2</f>
        <v>266400</v>
      </c>
      <c r="E13" s="396">
        <v>6000</v>
      </c>
      <c r="F13" s="396">
        <v>5.22</v>
      </c>
      <c r="G13" s="396">
        <f>E13*F13*1.2</f>
        <v>37584</v>
      </c>
      <c r="H13" s="396">
        <f t="shared" si="1"/>
        <v>66000</v>
      </c>
      <c r="I13" s="396">
        <f t="shared" si="2"/>
        <v>303984</v>
      </c>
      <c r="J13" s="396"/>
      <c r="K13" s="89">
        <f t="shared" si="3"/>
        <v>66000</v>
      </c>
      <c r="L13" s="89">
        <f t="shared" si="0"/>
        <v>336600</v>
      </c>
      <c r="M13" s="89">
        <v>66000</v>
      </c>
    </row>
    <row r="14" spans="1:15">
      <c r="A14" s="395">
        <v>44896</v>
      </c>
      <c r="B14" s="396">
        <v>60000</v>
      </c>
      <c r="C14" s="396">
        <v>4.07</v>
      </c>
      <c r="D14" s="396">
        <f>B14*C14*1.2</f>
        <v>293040</v>
      </c>
      <c r="E14" s="396">
        <v>6000</v>
      </c>
      <c r="F14" s="396">
        <v>5.74</v>
      </c>
      <c r="G14" s="396">
        <f>E14*F14*1.2</f>
        <v>41328</v>
      </c>
      <c r="H14" s="396">
        <f t="shared" si="1"/>
        <v>66000</v>
      </c>
      <c r="I14" s="396">
        <f t="shared" si="2"/>
        <v>334368</v>
      </c>
      <c r="J14" s="396"/>
      <c r="K14" s="89">
        <f t="shared" si="3"/>
        <v>66000</v>
      </c>
      <c r="L14" s="89">
        <f t="shared" si="0"/>
        <v>336600</v>
      </c>
      <c r="M14" s="89">
        <v>66000</v>
      </c>
    </row>
    <row r="15" spans="1:15">
      <c r="A15" s="89" t="s">
        <v>693</v>
      </c>
      <c r="B15" s="89">
        <f>SUM(B3:B14)</f>
        <v>599263</v>
      </c>
      <c r="C15" s="89"/>
      <c r="D15" s="89">
        <f t="shared" ref="D15:M15" si="4">SUM(D3:D14)</f>
        <v>2649884.9800000004</v>
      </c>
      <c r="E15" s="89">
        <f t="shared" si="4"/>
        <v>23286</v>
      </c>
      <c r="F15" s="89"/>
      <c r="G15" s="89">
        <f t="shared" si="4"/>
        <v>148271.95000000001</v>
      </c>
      <c r="H15" s="89">
        <f t="shared" si="4"/>
        <v>622549</v>
      </c>
      <c r="I15" s="89">
        <f t="shared" si="4"/>
        <v>2798156.9299999997</v>
      </c>
      <c r="J15" s="89"/>
      <c r="K15" s="89">
        <f t="shared" si="4"/>
        <v>622549</v>
      </c>
      <c r="L15" s="89">
        <f>SUM(L3:L14)</f>
        <v>3174999.8999999994</v>
      </c>
      <c r="M15" s="89">
        <f t="shared" si="4"/>
        <v>604506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1"/>
  <sheetViews>
    <sheetView topLeftCell="A4" workbookViewId="0">
      <selection activeCell="K11" sqref="K11"/>
    </sheetView>
  </sheetViews>
  <sheetFormatPr defaultRowHeight="15.6"/>
  <cols>
    <col min="2" max="2" width="13" customWidth="1"/>
  </cols>
  <sheetData>
    <row r="1" spans="1:15">
      <c r="C1" t="s">
        <v>694</v>
      </c>
    </row>
    <row r="3" spans="1:15">
      <c r="C3" t="s">
        <v>695</v>
      </c>
      <c r="E3" t="s">
        <v>695</v>
      </c>
    </row>
    <row r="4" spans="1:15" ht="31.2">
      <c r="B4" s="443" t="s">
        <v>1044</v>
      </c>
      <c r="C4">
        <v>88.65</v>
      </c>
      <c r="E4">
        <v>62.26</v>
      </c>
    </row>
    <row r="5" spans="1:15" ht="31.2">
      <c r="B5" s="443" t="s">
        <v>1046</v>
      </c>
      <c r="C5">
        <f>C4</f>
        <v>88.65</v>
      </c>
      <c r="E5">
        <f>E4</f>
        <v>62.26</v>
      </c>
    </row>
    <row r="6" spans="1:15">
      <c r="B6" t="s">
        <v>1045</v>
      </c>
      <c r="C6">
        <f>C4</f>
        <v>88.65</v>
      </c>
      <c r="E6">
        <f>E4</f>
        <v>62.26</v>
      </c>
    </row>
    <row r="7" spans="1:15" ht="93.6">
      <c r="A7" s="443" t="s">
        <v>696</v>
      </c>
      <c r="B7" s="89"/>
      <c r="C7" s="560" t="s">
        <v>697</v>
      </c>
      <c r="D7" s="560"/>
      <c r="E7" s="560" t="s">
        <v>698</v>
      </c>
      <c r="F7" s="560"/>
      <c r="G7" s="560" t="s">
        <v>699</v>
      </c>
      <c r="H7" s="560"/>
      <c r="I7" s="561" t="s">
        <v>700</v>
      </c>
      <c r="J7" s="561"/>
      <c r="K7" s="560" t="s">
        <v>701</v>
      </c>
      <c r="L7" s="560"/>
      <c r="N7">
        <v>2024</v>
      </c>
    </row>
    <row r="8" spans="1:15" s="97" customFormat="1">
      <c r="A8">
        <v>6081</v>
      </c>
      <c r="B8" s="89"/>
      <c r="C8" s="89" t="s">
        <v>702</v>
      </c>
      <c r="D8" s="89" t="s">
        <v>171</v>
      </c>
      <c r="E8" s="89" t="s">
        <v>702</v>
      </c>
      <c r="F8" s="89" t="s">
        <v>171</v>
      </c>
      <c r="G8" s="89" t="s">
        <v>702</v>
      </c>
      <c r="H8" s="89" t="s">
        <v>171</v>
      </c>
      <c r="I8" s="89" t="s">
        <v>702</v>
      </c>
      <c r="J8" s="89" t="s">
        <v>171</v>
      </c>
      <c r="K8" s="89" t="s">
        <v>702</v>
      </c>
      <c r="L8" s="89" t="s">
        <v>171</v>
      </c>
      <c r="M8"/>
      <c r="N8"/>
    </row>
    <row r="9" spans="1:15">
      <c r="A9" s="294">
        <v>6898</v>
      </c>
      <c r="B9" s="89" t="s">
        <v>703</v>
      </c>
      <c r="C9" s="89">
        <f t="shared" ref="C9:C16" si="0">A9-A8</f>
        <v>817</v>
      </c>
      <c r="D9" s="293">
        <f>C9*C4</f>
        <v>72427.05</v>
      </c>
      <c r="E9" s="89">
        <f>G9+I9</f>
        <v>0</v>
      </c>
      <c r="F9" s="89">
        <f>E9*E4</f>
        <v>0</v>
      </c>
      <c r="G9" s="89">
        <v>0</v>
      </c>
      <c r="H9" s="89"/>
      <c r="I9" s="89">
        <v>0</v>
      </c>
      <c r="J9" s="89"/>
      <c r="K9" s="89">
        <f>C9+E9</f>
        <v>817</v>
      </c>
      <c r="L9" s="293">
        <f>D9+F9</f>
        <v>72427.05</v>
      </c>
    </row>
    <row r="10" spans="1:15">
      <c r="A10" s="294">
        <v>7740</v>
      </c>
      <c r="B10" s="89" t="s">
        <v>704</v>
      </c>
      <c r="C10" s="89">
        <f t="shared" si="0"/>
        <v>842</v>
      </c>
      <c r="D10" s="89">
        <f>C10*C4</f>
        <v>74643.3</v>
      </c>
      <c r="E10" s="89">
        <f t="shared" ref="E10:E20" si="1">G10+I10</f>
        <v>0</v>
      </c>
      <c r="F10" s="89">
        <f>E10*E4</f>
        <v>0</v>
      </c>
      <c r="G10" s="89">
        <v>0</v>
      </c>
      <c r="H10" s="89"/>
      <c r="I10" s="89">
        <v>0</v>
      </c>
      <c r="J10" s="89"/>
      <c r="K10" s="89">
        <f t="shared" ref="K10:L20" si="2">C10+E10</f>
        <v>842</v>
      </c>
      <c r="L10" s="293">
        <f t="shared" si="2"/>
        <v>74643.3</v>
      </c>
    </row>
    <row r="11" spans="1:15">
      <c r="A11" s="294">
        <v>8774</v>
      </c>
      <c r="B11" s="89" t="s">
        <v>705</v>
      </c>
      <c r="C11" s="89">
        <f t="shared" si="0"/>
        <v>1034</v>
      </c>
      <c r="D11" s="89">
        <f>C11*C4</f>
        <v>91664.1</v>
      </c>
      <c r="E11" s="89">
        <f t="shared" si="1"/>
        <v>0</v>
      </c>
      <c r="F11" s="89">
        <f>E11*E4</f>
        <v>0</v>
      </c>
      <c r="G11" s="89">
        <v>0</v>
      </c>
      <c r="H11" s="89"/>
      <c r="I11" s="89">
        <v>0</v>
      </c>
      <c r="J11" s="89"/>
      <c r="K11" s="89">
        <f t="shared" si="2"/>
        <v>1034</v>
      </c>
      <c r="L11" s="293">
        <f t="shared" si="2"/>
        <v>91664.1</v>
      </c>
    </row>
    <row r="12" spans="1:15">
      <c r="A12" s="294">
        <v>9747</v>
      </c>
      <c r="B12" s="89" t="s">
        <v>706</v>
      </c>
      <c r="C12" s="89">
        <f t="shared" si="0"/>
        <v>973</v>
      </c>
      <c r="D12" s="89">
        <f>C12*C4</f>
        <v>86256.450000000012</v>
      </c>
      <c r="E12" s="89">
        <f t="shared" si="1"/>
        <v>0</v>
      </c>
      <c r="F12" s="89">
        <f>E12*E4</f>
        <v>0</v>
      </c>
      <c r="G12" s="89">
        <v>0</v>
      </c>
      <c r="H12" s="89"/>
      <c r="I12" s="89">
        <v>0</v>
      </c>
      <c r="J12" s="89"/>
      <c r="K12" s="89">
        <f t="shared" si="2"/>
        <v>973</v>
      </c>
      <c r="L12" s="293">
        <f t="shared" si="2"/>
        <v>86256.450000000012</v>
      </c>
    </row>
    <row r="13" spans="1:15">
      <c r="A13" s="294">
        <v>10869</v>
      </c>
      <c r="B13" s="89" t="s">
        <v>707</v>
      </c>
      <c r="C13" s="89">
        <f t="shared" si="0"/>
        <v>1122</v>
      </c>
      <c r="D13" s="89">
        <f>C13*C4</f>
        <v>99465.3</v>
      </c>
      <c r="E13" s="89">
        <f t="shared" si="1"/>
        <v>0</v>
      </c>
      <c r="F13" s="89">
        <f>E13*E4</f>
        <v>0</v>
      </c>
      <c r="G13" s="89">
        <v>0</v>
      </c>
      <c r="H13" s="89"/>
      <c r="I13" s="89">
        <v>0</v>
      </c>
      <c r="J13" s="89"/>
      <c r="K13" s="89">
        <f t="shared" si="2"/>
        <v>1122</v>
      </c>
      <c r="L13" s="293">
        <f t="shared" si="2"/>
        <v>99465.3</v>
      </c>
    </row>
    <row r="14" spans="1:15">
      <c r="A14" s="294">
        <v>11707</v>
      </c>
      <c r="B14" s="89" t="s">
        <v>708</v>
      </c>
      <c r="C14" s="89">
        <f t="shared" si="0"/>
        <v>838</v>
      </c>
      <c r="D14" s="89">
        <f>C14*C4</f>
        <v>74288.700000000012</v>
      </c>
      <c r="E14" s="89">
        <f t="shared" si="1"/>
        <v>0</v>
      </c>
      <c r="F14" s="89">
        <f>E14*E4</f>
        <v>0</v>
      </c>
      <c r="G14" s="89">
        <v>0</v>
      </c>
      <c r="H14" s="89"/>
      <c r="I14" s="89">
        <v>0</v>
      </c>
      <c r="J14" s="89"/>
      <c r="K14" s="89">
        <f t="shared" si="2"/>
        <v>838</v>
      </c>
      <c r="L14" s="293">
        <f t="shared" si="2"/>
        <v>74288.700000000012</v>
      </c>
      <c r="N14">
        <f>K9+K10+K11+K12+K13+K14</f>
        <v>5626</v>
      </c>
      <c r="O14">
        <f>N14*C5</f>
        <v>498744.9</v>
      </c>
    </row>
    <row r="15" spans="1:15">
      <c r="A15" s="294">
        <v>12554</v>
      </c>
      <c r="B15" s="89" t="s">
        <v>709</v>
      </c>
      <c r="C15" s="89">
        <f t="shared" si="0"/>
        <v>847</v>
      </c>
      <c r="D15" s="89">
        <f>C15*C5</f>
        <v>75086.55</v>
      </c>
      <c r="E15" s="89">
        <f t="shared" si="1"/>
        <v>0</v>
      </c>
      <c r="F15" s="89">
        <f>E15*E5</f>
        <v>0</v>
      </c>
      <c r="G15" s="89">
        <v>0</v>
      </c>
      <c r="H15" s="89"/>
      <c r="I15" s="89">
        <v>0</v>
      </c>
      <c r="J15" s="89"/>
      <c r="K15" s="89">
        <f t="shared" si="2"/>
        <v>847</v>
      </c>
      <c r="L15" s="293">
        <f t="shared" si="2"/>
        <v>75086.55</v>
      </c>
    </row>
    <row r="16" spans="1:15">
      <c r="A16" s="294">
        <v>13427</v>
      </c>
      <c r="B16" s="89" t="s">
        <v>710</v>
      </c>
      <c r="C16" s="89">
        <f t="shared" si="0"/>
        <v>873</v>
      </c>
      <c r="D16" s="89">
        <f>C16*C5</f>
        <v>77391.450000000012</v>
      </c>
      <c r="E16" s="89">
        <f t="shared" si="1"/>
        <v>0</v>
      </c>
      <c r="F16" s="89">
        <f>E16*E5</f>
        <v>0</v>
      </c>
      <c r="G16" s="89">
        <v>0</v>
      </c>
      <c r="H16" s="89"/>
      <c r="I16" s="89">
        <v>0</v>
      </c>
      <c r="J16" s="89"/>
      <c r="K16" s="89">
        <f t="shared" si="2"/>
        <v>873</v>
      </c>
      <c r="L16" s="293">
        <f t="shared" si="2"/>
        <v>77391.450000000012</v>
      </c>
    </row>
    <row r="17" spans="1:15">
      <c r="A17" s="294">
        <v>14193</v>
      </c>
      <c r="B17" s="89" t="s">
        <v>711</v>
      </c>
      <c r="C17" s="89">
        <f>A17-A16</f>
        <v>766</v>
      </c>
      <c r="D17" s="89">
        <f>C17*C5</f>
        <v>67905.900000000009</v>
      </c>
      <c r="E17" s="89">
        <f t="shared" si="1"/>
        <v>0</v>
      </c>
      <c r="F17" s="89">
        <f>E17*E5</f>
        <v>0</v>
      </c>
      <c r="G17" s="89">
        <v>0</v>
      </c>
      <c r="H17" s="89"/>
      <c r="I17" s="89">
        <v>0</v>
      </c>
      <c r="J17" s="89"/>
      <c r="K17" s="89">
        <f t="shared" si="2"/>
        <v>766</v>
      </c>
      <c r="L17" s="293">
        <f t="shared" si="2"/>
        <v>67905.900000000009</v>
      </c>
    </row>
    <row r="18" spans="1:15">
      <c r="A18" s="294">
        <v>15232</v>
      </c>
      <c r="B18" s="89" t="s">
        <v>712</v>
      </c>
      <c r="C18" s="89">
        <f>A18-A17</f>
        <v>1039</v>
      </c>
      <c r="D18" s="89">
        <f>C18*C5</f>
        <v>92107.35</v>
      </c>
      <c r="E18" s="89">
        <f t="shared" si="1"/>
        <v>0</v>
      </c>
      <c r="F18" s="89">
        <f>E18*E5</f>
        <v>0</v>
      </c>
      <c r="G18" s="89">
        <v>0</v>
      </c>
      <c r="H18" s="89"/>
      <c r="I18" s="89">
        <v>0</v>
      </c>
      <c r="J18" s="89"/>
      <c r="K18" s="89">
        <f t="shared" si="2"/>
        <v>1039</v>
      </c>
      <c r="L18" s="293">
        <f t="shared" si="2"/>
        <v>92107.35</v>
      </c>
    </row>
    <row r="19" spans="1:15">
      <c r="A19" s="294"/>
      <c r="B19" s="89" t="s">
        <v>713</v>
      </c>
      <c r="C19" s="89">
        <v>1030</v>
      </c>
      <c r="D19" s="89">
        <f>C19*C5</f>
        <v>91309.5</v>
      </c>
      <c r="E19" s="89">
        <f t="shared" si="1"/>
        <v>0</v>
      </c>
      <c r="F19" s="89">
        <f>E19*E5</f>
        <v>0</v>
      </c>
      <c r="G19" s="89">
        <v>0</v>
      </c>
      <c r="H19" s="89"/>
      <c r="I19" s="89">
        <v>0</v>
      </c>
      <c r="J19" s="89"/>
      <c r="K19" s="89">
        <f t="shared" si="2"/>
        <v>1030</v>
      </c>
      <c r="L19" s="293">
        <f t="shared" si="2"/>
        <v>91309.5</v>
      </c>
    </row>
    <row r="20" spans="1:15" s="295" customFormat="1">
      <c r="A20" s="294"/>
      <c r="B20" s="89" t="s">
        <v>714</v>
      </c>
      <c r="C20" s="89">
        <v>737</v>
      </c>
      <c r="D20" s="89">
        <f>C20*C5</f>
        <v>65335.05</v>
      </c>
      <c r="E20" s="89">
        <f t="shared" si="1"/>
        <v>0</v>
      </c>
      <c r="F20" s="89">
        <f>E20*E5</f>
        <v>0</v>
      </c>
      <c r="G20" s="89">
        <v>0</v>
      </c>
      <c r="H20" s="89"/>
      <c r="I20" s="89">
        <v>0</v>
      </c>
      <c r="J20" s="89"/>
      <c r="K20" s="89">
        <f t="shared" si="2"/>
        <v>737</v>
      </c>
      <c r="L20" s="293">
        <f t="shared" si="2"/>
        <v>65335.05</v>
      </c>
      <c r="N20" s="295">
        <f>K15+K16+K17+K18+2000</f>
        <v>5525</v>
      </c>
      <c r="O20" s="295">
        <f>N20*C6</f>
        <v>489791.25000000006</v>
      </c>
    </row>
    <row r="21" spans="1:15">
      <c r="B21" s="89" t="s">
        <v>693</v>
      </c>
      <c r="C21" s="89">
        <f>SUM(C9:C20)</f>
        <v>10918</v>
      </c>
      <c r="D21" s="89">
        <f t="shared" ref="D21:L21" si="3">SUM(D9:D20)</f>
        <v>967880.70000000019</v>
      </c>
      <c r="E21" s="89">
        <f t="shared" si="3"/>
        <v>0</v>
      </c>
      <c r="F21" s="89">
        <f t="shared" si="3"/>
        <v>0</v>
      </c>
      <c r="G21" s="89">
        <f t="shared" si="3"/>
        <v>0</v>
      </c>
      <c r="H21" s="89">
        <f t="shared" si="3"/>
        <v>0</v>
      </c>
      <c r="I21" s="89">
        <f t="shared" si="3"/>
        <v>0</v>
      </c>
      <c r="J21" s="89">
        <f t="shared" si="3"/>
        <v>0</v>
      </c>
      <c r="K21" s="89">
        <f t="shared" si="3"/>
        <v>10918</v>
      </c>
      <c r="L21" s="89">
        <f t="shared" si="3"/>
        <v>967880.70000000019</v>
      </c>
      <c r="N21">
        <f>N14+N20</f>
        <v>11151</v>
      </c>
      <c r="O21">
        <f>O14+O20</f>
        <v>988536.15000000014</v>
      </c>
    </row>
  </sheetData>
  <mergeCells count="5"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8"/>
  <sheetViews>
    <sheetView workbookViewId="0">
      <selection activeCell="D23" sqref="D23"/>
    </sheetView>
  </sheetViews>
  <sheetFormatPr defaultRowHeight="15.6"/>
  <cols>
    <col min="1" max="1" width="12.69921875" customWidth="1"/>
    <col min="2" max="2" width="5.69921875" customWidth="1"/>
    <col min="4" max="4" width="11" customWidth="1"/>
  </cols>
  <sheetData>
    <row r="2" spans="1:6">
      <c r="F2">
        <v>2024</v>
      </c>
    </row>
    <row r="4" spans="1:6">
      <c r="A4" s="89" t="s">
        <v>748</v>
      </c>
      <c r="B4" s="89" t="s">
        <v>749</v>
      </c>
      <c r="C4" s="89" t="s">
        <v>281</v>
      </c>
      <c r="D4" s="319" t="s">
        <v>171</v>
      </c>
    </row>
    <row r="5" spans="1:6">
      <c r="A5" s="89" t="s">
        <v>703</v>
      </c>
      <c r="B5" s="89">
        <v>28.8</v>
      </c>
      <c r="C5" s="89">
        <v>529.6</v>
      </c>
      <c r="D5" s="435">
        <f>SUM(B5*C5)</f>
        <v>15252.480000000001</v>
      </c>
    </row>
    <row r="6" spans="1:6">
      <c r="A6" s="89" t="s">
        <v>704</v>
      </c>
      <c r="B6" s="89">
        <v>25.6</v>
      </c>
      <c r="C6" s="89">
        <v>529.6</v>
      </c>
      <c r="D6" s="435">
        <f t="shared" ref="D6:D15" si="0">SUM(B6*C6)</f>
        <v>13557.760000000002</v>
      </c>
    </row>
    <row r="7" spans="1:6">
      <c r="A7" s="89" t="s">
        <v>705</v>
      </c>
      <c r="B7" s="89">
        <v>28.8</v>
      </c>
      <c r="C7" s="89">
        <v>529.6</v>
      </c>
      <c r="D7" s="435">
        <f t="shared" si="0"/>
        <v>15252.480000000001</v>
      </c>
    </row>
    <row r="8" spans="1:6">
      <c r="A8" s="89" t="s">
        <v>706</v>
      </c>
      <c r="B8" s="89">
        <v>25.6</v>
      </c>
      <c r="C8" s="89">
        <v>529.6</v>
      </c>
      <c r="D8" s="435">
        <f t="shared" si="0"/>
        <v>13557.760000000002</v>
      </c>
    </row>
    <row r="9" spans="1:6">
      <c r="A9" s="89" t="s">
        <v>707</v>
      </c>
      <c r="B9" s="89">
        <v>28.8</v>
      </c>
      <c r="C9" s="89">
        <v>529.6</v>
      </c>
      <c r="D9" s="435">
        <f t="shared" si="0"/>
        <v>15252.480000000001</v>
      </c>
    </row>
    <row r="10" spans="1:6">
      <c r="A10" s="89" t="s">
        <v>708</v>
      </c>
      <c r="B10" s="89">
        <v>28.8</v>
      </c>
      <c r="C10" s="89">
        <v>529.6</v>
      </c>
      <c r="D10" s="435">
        <f t="shared" si="0"/>
        <v>15252.480000000001</v>
      </c>
    </row>
    <row r="11" spans="1:6">
      <c r="A11" s="89" t="s">
        <v>709</v>
      </c>
      <c r="B11" s="89">
        <v>28.8</v>
      </c>
      <c r="C11" s="89">
        <v>576.23</v>
      </c>
      <c r="D11" s="435">
        <f t="shared" si="0"/>
        <v>16595.424000000003</v>
      </c>
    </row>
    <row r="12" spans="1:6">
      <c r="A12" s="89" t="s">
        <v>710</v>
      </c>
      <c r="B12" s="89">
        <v>28.8</v>
      </c>
      <c r="C12" s="89">
        <v>576.23</v>
      </c>
      <c r="D12" s="435">
        <f t="shared" si="0"/>
        <v>16595.424000000003</v>
      </c>
    </row>
    <row r="13" spans="1:6">
      <c r="A13" s="89" t="s">
        <v>711</v>
      </c>
      <c r="B13" s="89">
        <v>25.6</v>
      </c>
      <c r="C13" s="89">
        <v>576.23</v>
      </c>
      <c r="D13" s="435">
        <f t="shared" si="0"/>
        <v>14751.488000000001</v>
      </c>
    </row>
    <row r="14" spans="1:6">
      <c r="A14" s="89" t="s">
        <v>712</v>
      </c>
      <c r="B14" s="89">
        <v>28.8</v>
      </c>
      <c r="C14" s="89">
        <v>576.23</v>
      </c>
      <c r="D14" s="435">
        <f t="shared" si="0"/>
        <v>16595.424000000003</v>
      </c>
    </row>
    <row r="15" spans="1:6">
      <c r="A15" s="89" t="s">
        <v>713</v>
      </c>
      <c r="B15" s="89">
        <v>25.6</v>
      </c>
      <c r="C15" s="89">
        <v>576.23</v>
      </c>
      <c r="D15" s="435">
        <f t="shared" si="0"/>
        <v>14751.488000000001</v>
      </c>
    </row>
    <row r="16" spans="1:6">
      <c r="A16" s="89" t="s">
        <v>714</v>
      </c>
      <c r="B16" s="89">
        <v>28.8</v>
      </c>
      <c r="C16" s="89">
        <v>576.23</v>
      </c>
      <c r="D16" s="435">
        <f>SUM(B16*C16)</f>
        <v>16595.424000000003</v>
      </c>
    </row>
    <row r="17" spans="1:4">
      <c r="A17" s="89"/>
      <c r="B17" s="89"/>
      <c r="C17" s="89"/>
      <c r="D17" s="435"/>
    </row>
    <row r="18" spans="1:4">
      <c r="A18" s="89" t="s">
        <v>89</v>
      </c>
      <c r="B18" s="89">
        <f>SUM(B5:B17)</f>
        <v>332.80000000000007</v>
      </c>
      <c r="C18" s="89"/>
      <c r="D18" s="435">
        <f>SUM(D5:D17)</f>
        <v>184010.11200000002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E40"/>
  <sheetViews>
    <sheetView workbookViewId="0">
      <selection activeCell="K14" sqref="K14"/>
    </sheetView>
  </sheetViews>
  <sheetFormatPr defaultRowHeight="15.6"/>
  <cols>
    <col min="1" max="1" width="37.296875" customWidth="1"/>
    <col min="5" max="5" width="13.09765625" customWidth="1"/>
  </cols>
  <sheetData>
    <row r="2" spans="1:5" ht="16.8">
      <c r="A2" s="547" t="s">
        <v>115</v>
      </c>
      <c r="B2" s="547"/>
      <c r="C2" s="547"/>
      <c r="D2" s="547"/>
      <c r="E2" s="547"/>
    </row>
    <row r="3" spans="1:5" ht="16.8">
      <c r="A3" s="553" t="s">
        <v>326</v>
      </c>
      <c r="B3" s="553"/>
      <c r="C3" s="553"/>
      <c r="D3" s="553"/>
      <c r="E3" s="553"/>
    </row>
    <row r="4" spans="1:5" ht="67.2">
      <c r="A4" s="95" t="s">
        <v>117</v>
      </c>
      <c r="B4" s="301" t="s">
        <v>7</v>
      </c>
      <c r="C4" s="301" t="s">
        <v>0</v>
      </c>
      <c r="D4" s="301" t="s">
        <v>1</v>
      </c>
      <c r="E4" s="301" t="s">
        <v>4</v>
      </c>
    </row>
    <row r="5" spans="1:5" ht="18">
      <c r="A5" s="320" t="s">
        <v>750</v>
      </c>
      <c r="B5" s="321" t="s">
        <v>751</v>
      </c>
      <c r="C5" s="321">
        <v>1</v>
      </c>
      <c r="D5" s="321">
        <v>56000</v>
      </c>
      <c r="E5" s="321">
        <f>C5*D5</f>
        <v>56000</v>
      </c>
    </row>
    <row r="6" spans="1:5" ht="18">
      <c r="A6" s="320" t="s">
        <v>752</v>
      </c>
      <c r="B6" s="321" t="s">
        <v>751</v>
      </c>
      <c r="C6" s="321">
        <v>1</v>
      </c>
      <c r="D6" s="321">
        <v>45900</v>
      </c>
      <c r="E6" s="321">
        <f t="shared" ref="E6:E39" si="0">C6*D6</f>
        <v>45900</v>
      </c>
    </row>
    <row r="7" spans="1:5" ht="36">
      <c r="A7" s="320" t="s">
        <v>753</v>
      </c>
      <c r="B7" s="321" t="s">
        <v>751</v>
      </c>
      <c r="C7" s="321">
        <v>20</v>
      </c>
      <c r="D7" s="321">
        <v>9072</v>
      </c>
      <c r="E7" s="321">
        <f t="shared" si="0"/>
        <v>181440</v>
      </c>
    </row>
    <row r="8" spans="1:5" ht="18">
      <c r="A8" s="320" t="s">
        <v>754</v>
      </c>
      <c r="B8" s="321" t="s">
        <v>751</v>
      </c>
      <c r="C8" s="321">
        <v>180</v>
      </c>
      <c r="D8" s="321">
        <v>800</v>
      </c>
      <c r="E8" s="321">
        <f t="shared" si="0"/>
        <v>144000</v>
      </c>
    </row>
    <row r="9" spans="1:5" ht="18">
      <c r="A9" s="320" t="s">
        <v>755</v>
      </c>
      <c r="B9" s="321" t="s">
        <v>751</v>
      </c>
      <c r="C9" s="321">
        <v>1</v>
      </c>
      <c r="D9" s="386">
        <v>130000</v>
      </c>
      <c r="E9" s="321">
        <f t="shared" si="0"/>
        <v>130000</v>
      </c>
    </row>
    <row r="10" spans="1:5" ht="18">
      <c r="A10" s="320" t="s">
        <v>756</v>
      </c>
      <c r="B10" s="321" t="s">
        <v>751</v>
      </c>
      <c r="C10" s="321">
        <v>1</v>
      </c>
      <c r="D10" s="386">
        <v>72560</v>
      </c>
      <c r="E10" s="321">
        <f t="shared" si="0"/>
        <v>72560</v>
      </c>
    </row>
    <row r="11" spans="1:5" ht="18">
      <c r="A11" s="320" t="s">
        <v>757</v>
      </c>
      <c r="B11" s="321" t="s">
        <v>751</v>
      </c>
      <c r="C11" s="321">
        <v>1</v>
      </c>
      <c r="D11" s="386">
        <v>58120</v>
      </c>
      <c r="E11" s="321">
        <f t="shared" si="0"/>
        <v>58120</v>
      </c>
    </row>
    <row r="12" spans="1:5" ht="18">
      <c r="A12" s="320" t="s">
        <v>758</v>
      </c>
      <c r="B12" s="321" t="s">
        <v>751</v>
      </c>
      <c r="C12" s="321">
        <v>2</v>
      </c>
      <c r="D12" s="386">
        <v>21010</v>
      </c>
      <c r="E12" s="321">
        <f t="shared" si="0"/>
        <v>42020</v>
      </c>
    </row>
    <row r="13" spans="1:5" ht="18">
      <c r="A13" s="320" t="s">
        <v>970</v>
      </c>
      <c r="B13" s="321" t="s">
        <v>751</v>
      </c>
      <c r="C13" s="321">
        <v>2</v>
      </c>
      <c r="D13" s="386">
        <v>7980</v>
      </c>
      <c r="E13" s="321">
        <f t="shared" si="0"/>
        <v>15960</v>
      </c>
    </row>
    <row r="14" spans="1:5" ht="18">
      <c r="A14" s="320" t="s">
        <v>971</v>
      </c>
      <c r="B14" s="321" t="s">
        <v>751</v>
      </c>
      <c r="C14" s="321">
        <v>2</v>
      </c>
      <c r="D14" s="386">
        <v>98459</v>
      </c>
      <c r="E14" s="321">
        <f t="shared" si="0"/>
        <v>196918</v>
      </c>
    </row>
    <row r="15" spans="1:5" ht="18">
      <c r="A15" s="320" t="s">
        <v>972</v>
      </c>
      <c r="B15" s="321" t="s">
        <v>751</v>
      </c>
      <c r="C15" s="321">
        <v>2</v>
      </c>
      <c r="D15" s="386">
        <v>50000</v>
      </c>
      <c r="E15" s="321">
        <f t="shared" si="0"/>
        <v>100000</v>
      </c>
    </row>
    <row r="16" spans="1:5" ht="18">
      <c r="A16" s="320" t="s">
        <v>759</v>
      </c>
      <c r="B16" s="321" t="s">
        <v>751</v>
      </c>
      <c r="C16" s="321">
        <v>51</v>
      </c>
      <c r="D16" s="386">
        <v>3000</v>
      </c>
      <c r="E16" s="321">
        <f t="shared" si="0"/>
        <v>153000</v>
      </c>
    </row>
    <row r="17" spans="1:5" ht="18">
      <c r="A17" s="320" t="s">
        <v>760</v>
      </c>
      <c r="B17" s="321" t="s">
        <v>751</v>
      </c>
      <c r="C17" s="321">
        <v>50</v>
      </c>
      <c r="D17" s="386">
        <v>8600</v>
      </c>
      <c r="E17" s="321">
        <f t="shared" si="0"/>
        <v>430000</v>
      </c>
    </row>
    <row r="18" spans="1:5" ht="18">
      <c r="A18" s="320" t="s">
        <v>761</v>
      </c>
      <c r="B18" s="321" t="s">
        <v>751</v>
      </c>
      <c r="C18" s="321">
        <v>3</v>
      </c>
      <c r="D18" s="386">
        <v>9680</v>
      </c>
      <c r="E18" s="321">
        <f t="shared" si="0"/>
        <v>29040</v>
      </c>
    </row>
    <row r="19" spans="1:5" ht="18">
      <c r="A19" s="320" t="s">
        <v>762</v>
      </c>
      <c r="B19" s="321" t="s">
        <v>751</v>
      </c>
      <c r="C19" s="321">
        <v>5</v>
      </c>
      <c r="D19" s="386">
        <v>7600</v>
      </c>
      <c r="E19" s="321">
        <f t="shared" si="0"/>
        <v>38000</v>
      </c>
    </row>
    <row r="20" spans="1:5" ht="18">
      <c r="A20" s="320" t="s">
        <v>763</v>
      </c>
      <c r="B20" s="321" t="s">
        <v>751</v>
      </c>
      <c r="C20" s="321">
        <v>6</v>
      </c>
      <c r="D20" s="386">
        <v>9440</v>
      </c>
      <c r="E20" s="321">
        <f t="shared" si="0"/>
        <v>56640</v>
      </c>
    </row>
    <row r="21" spans="1:5" ht="18">
      <c r="A21" s="320" t="s">
        <v>764</v>
      </c>
      <c r="B21" s="321" t="s">
        <v>751</v>
      </c>
      <c r="C21" s="321">
        <v>7</v>
      </c>
      <c r="D21" s="386">
        <v>5280</v>
      </c>
      <c r="E21" s="321">
        <f t="shared" si="0"/>
        <v>36960</v>
      </c>
    </row>
    <row r="22" spans="1:5" ht="18">
      <c r="A22" s="320" t="s">
        <v>765</v>
      </c>
      <c r="B22" s="321" t="s">
        <v>751</v>
      </c>
      <c r="C22" s="321">
        <v>27</v>
      </c>
      <c r="D22" s="386">
        <v>3100</v>
      </c>
      <c r="E22" s="321">
        <f t="shared" si="0"/>
        <v>83700</v>
      </c>
    </row>
    <row r="23" spans="1:5" ht="18">
      <c r="A23" s="322" t="s">
        <v>766</v>
      </c>
      <c r="B23" s="321" t="s">
        <v>751</v>
      </c>
      <c r="C23" s="323">
        <v>1</v>
      </c>
      <c r="D23" s="401">
        <v>58750</v>
      </c>
      <c r="E23" s="324">
        <f t="shared" si="0"/>
        <v>58750</v>
      </c>
    </row>
    <row r="24" spans="1:5" ht="18">
      <c r="A24" s="322" t="s">
        <v>968</v>
      </c>
      <c r="B24" s="321" t="s">
        <v>751</v>
      </c>
      <c r="C24" s="323">
        <v>1</v>
      </c>
      <c r="D24" s="401">
        <v>53725</v>
      </c>
      <c r="E24" s="324">
        <f t="shared" si="0"/>
        <v>53725</v>
      </c>
    </row>
    <row r="25" spans="1:5" ht="18">
      <c r="A25" s="322" t="s">
        <v>969</v>
      </c>
      <c r="B25" s="321" t="s">
        <v>751</v>
      </c>
      <c r="C25" s="323">
        <v>1</v>
      </c>
      <c r="D25" s="401">
        <v>282631</v>
      </c>
      <c r="E25" s="324">
        <f t="shared" si="0"/>
        <v>282631</v>
      </c>
    </row>
    <row r="26" spans="1:5" ht="18">
      <c r="A26" s="322" t="s">
        <v>767</v>
      </c>
      <c r="B26" s="321" t="s">
        <v>751</v>
      </c>
      <c r="C26" s="323">
        <v>1</v>
      </c>
      <c r="D26" s="401">
        <v>82620</v>
      </c>
      <c r="E26" s="324">
        <f t="shared" si="0"/>
        <v>82620</v>
      </c>
    </row>
    <row r="27" spans="1:5" ht="18">
      <c r="A27" s="322" t="s">
        <v>768</v>
      </c>
      <c r="B27" s="321" t="s">
        <v>751</v>
      </c>
      <c r="C27" s="323">
        <v>1</v>
      </c>
      <c r="D27" s="401">
        <v>30000</v>
      </c>
      <c r="E27" s="324">
        <f t="shared" si="0"/>
        <v>30000</v>
      </c>
    </row>
    <row r="28" spans="1:5" ht="18">
      <c r="A28" s="322" t="s">
        <v>769</v>
      </c>
      <c r="B28" s="321" t="s">
        <v>751</v>
      </c>
      <c r="C28" s="323">
        <v>5</v>
      </c>
      <c r="D28" s="401">
        <v>7000</v>
      </c>
      <c r="E28" s="324">
        <f t="shared" si="0"/>
        <v>35000</v>
      </c>
    </row>
    <row r="29" spans="1:5" ht="18">
      <c r="A29" s="322" t="s">
        <v>770</v>
      </c>
      <c r="B29" s="321" t="s">
        <v>751</v>
      </c>
      <c r="C29" s="323">
        <v>10</v>
      </c>
      <c r="D29" s="401">
        <v>6500</v>
      </c>
      <c r="E29" s="324">
        <f t="shared" si="0"/>
        <v>65000</v>
      </c>
    </row>
    <row r="30" spans="1:5" ht="18">
      <c r="A30" s="322" t="s">
        <v>771</v>
      </c>
      <c r="B30" s="321" t="s">
        <v>751</v>
      </c>
      <c r="C30" s="323">
        <v>3</v>
      </c>
      <c r="D30" s="401">
        <v>12000</v>
      </c>
      <c r="E30" s="324">
        <f t="shared" si="0"/>
        <v>36000</v>
      </c>
    </row>
    <row r="31" spans="1:5" ht="18">
      <c r="A31" s="322" t="s">
        <v>772</v>
      </c>
      <c r="B31" s="321" t="s">
        <v>751</v>
      </c>
      <c r="C31" s="323">
        <v>2</v>
      </c>
      <c r="D31" s="401">
        <v>2700</v>
      </c>
      <c r="E31" s="324">
        <f t="shared" si="0"/>
        <v>5400</v>
      </c>
    </row>
    <row r="32" spans="1:5" ht="18">
      <c r="A32" s="322" t="s">
        <v>773</v>
      </c>
      <c r="B32" s="321" t="s">
        <v>751</v>
      </c>
      <c r="C32" s="323">
        <v>5</v>
      </c>
      <c r="D32" s="401">
        <v>59900</v>
      </c>
      <c r="E32" s="324">
        <f t="shared" si="0"/>
        <v>299500</v>
      </c>
    </row>
    <row r="33" spans="1:5" ht="18">
      <c r="A33" s="322" t="s">
        <v>774</v>
      </c>
      <c r="B33" s="321" t="s">
        <v>751</v>
      </c>
      <c r="C33" s="323">
        <v>6</v>
      </c>
      <c r="D33" s="401">
        <v>9300</v>
      </c>
      <c r="E33" s="324">
        <f t="shared" si="0"/>
        <v>55800</v>
      </c>
    </row>
    <row r="34" spans="1:5" ht="18">
      <c r="A34" s="322" t="s">
        <v>775</v>
      </c>
      <c r="B34" s="321" t="s">
        <v>751</v>
      </c>
      <c r="C34" s="323">
        <v>207</v>
      </c>
      <c r="D34" s="401">
        <v>800</v>
      </c>
      <c r="E34" s="324">
        <f t="shared" si="0"/>
        <v>165600</v>
      </c>
    </row>
    <row r="35" spans="1:5" ht="18">
      <c r="A35" s="322" t="s">
        <v>776</v>
      </c>
      <c r="B35" s="321" t="s">
        <v>751</v>
      </c>
      <c r="C35" s="323">
        <v>10</v>
      </c>
      <c r="D35" s="401">
        <v>1500</v>
      </c>
      <c r="E35" s="324">
        <f t="shared" si="0"/>
        <v>15000</v>
      </c>
    </row>
    <row r="36" spans="1:5" ht="18">
      <c r="A36" s="322" t="s">
        <v>994</v>
      </c>
      <c r="B36" s="321" t="s">
        <v>751</v>
      </c>
      <c r="C36" s="323">
        <v>2</v>
      </c>
      <c r="D36" s="401">
        <v>15000</v>
      </c>
      <c r="E36" s="324">
        <f t="shared" si="0"/>
        <v>30000</v>
      </c>
    </row>
    <row r="37" spans="1:5" ht="18">
      <c r="A37" s="322" t="s">
        <v>1005</v>
      </c>
      <c r="B37" s="321"/>
      <c r="C37" s="323">
        <v>1</v>
      </c>
      <c r="D37" s="401">
        <v>5000</v>
      </c>
      <c r="E37" s="324">
        <f t="shared" si="0"/>
        <v>5000</v>
      </c>
    </row>
    <row r="38" spans="1:5" ht="18">
      <c r="A38" s="322" t="s">
        <v>1006</v>
      </c>
      <c r="B38" s="321"/>
      <c r="C38" s="323">
        <v>10</v>
      </c>
      <c r="D38" s="401">
        <v>4000</v>
      </c>
      <c r="E38" s="324">
        <f t="shared" si="0"/>
        <v>40000</v>
      </c>
    </row>
    <row r="39" spans="1:5" ht="18">
      <c r="A39" s="322" t="s">
        <v>993</v>
      </c>
      <c r="B39" s="321" t="s">
        <v>751</v>
      </c>
      <c r="C39" s="323">
        <v>10</v>
      </c>
      <c r="D39" s="324">
        <v>10000</v>
      </c>
      <c r="E39" s="324">
        <f t="shared" si="0"/>
        <v>100000</v>
      </c>
    </row>
    <row r="40" spans="1:5" ht="16.8">
      <c r="A40" s="52"/>
      <c r="B40" s="52" t="s">
        <v>6</v>
      </c>
      <c r="C40" s="52" t="s">
        <v>6</v>
      </c>
      <c r="D40" s="53" t="s">
        <v>6</v>
      </c>
      <c r="E40" s="53">
        <f>SUM(E5:E39)</f>
        <v>3230284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2"/>
  <sheetViews>
    <sheetView zoomScaleNormal="100" workbookViewId="0">
      <selection activeCell="G1" sqref="G1:L1048576"/>
    </sheetView>
  </sheetViews>
  <sheetFormatPr defaultRowHeight="15.6"/>
  <cols>
    <col min="1" max="1" width="15.3984375" bestFit="1" customWidth="1"/>
    <col min="4" max="4" width="17.59765625" customWidth="1"/>
    <col min="5" max="5" width="16.69921875" customWidth="1"/>
    <col min="7" max="8" width="0" hidden="1" customWidth="1"/>
    <col min="9" max="9" width="16.09765625" hidden="1" customWidth="1"/>
    <col min="10" max="10" width="16.8984375" hidden="1" customWidth="1"/>
    <col min="11" max="11" width="17.8984375" hidden="1" customWidth="1"/>
    <col min="12" max="12" width="18.09765625" hidden="1" customWidth="1"/>
  </cols>
  <sheetData>
    <row r="1" spans="1:12">
      <c r="A1" t="s">
        <v>1043</v>
      </c>
      <c r="D1">
        <v>0</v>
      </c>
    </row>
    <row r="2" spans="1:12">
      <c r="D2" s="435">
        <f>D1+D4-D9</f>
        <v>-5408689.446146369</v>
      </c>
      <c r="I2" s="435">
        <f>I1+I4-I9</f>
        <v>75638812.700000003</v>
      </c>
      <c r="J2" s="435">
        <f t="shared" ref="J2:K2" si="0">J1+J4-J9</f>
        <v>-36658265.370000005</v>
      </c>
      <c r="K2" s="435">
        <f t="shared" si="0"/>
        <v>-54227212.670000002</v>
      </c>
    </row>
    <row r="3" spans="1:12">
      <c r="D3" t="s">
        <v>1014</v>
      </c>
      <c r="I3" t="s">
        <v>1014</v>
      </c>
    </row>
    <row r="4" spans="1:12">
      <c r="C4" t="s">
        <v>693</v>
      </c>
      <c r="D4">
        <f>D5+D6</f>
        <v>93001670</v>
      </c>
      <c r="I4">
        <f>J6+I6</f>
        <v>93207760</v>
      </c>
    </row>
    <row r="5" spans="1:12">
      <c r="C5">
        <v>4</v>
      </c>
      <c r="D5">
        <v>54601670</v>
      </c>
      <c r="I5">
        <v>2</v>
      </c>
      <c r="J5">
        <v>4</v>
      </c>
    </row>
    <row r="6" spans="1:12">
      <c r="C6">
        <v>2</v>
      </c>
      <c r="D6">
        <v>38400000</v>
      </c>
      <c r="I6">
        <v>38400000</v>
      </c>
      <c r="J6">
        <v>54807760</v>
      </c>
    </row>
    <row r="8" spans="1:12">
      <c r="D8" t="s">
        <v>1015</v>
      </c>
      <c r="I8" t="s">
        <v>1015</v>
      </c>
    </row>
    <row r="9" spans="1:12">
      <c r="C9" t="s">
        <v>693</v>
      </c>
      <c r="D9" s="127">
        <f>D10+D11+D12+D17+D18+D19+D37+D42</f>
        <v>98410359.446146369</v>
      </c>
      <c r="H9" t="s">
        <v>693</v>
      </c>
      <c r="I9" s="127">
        <f>I10+I11+I12+I17+I18+I19+I37+I42</f>
        <v>17568947.300000001</v>
      </c>
      <c r="J9" s="127">
        <f>J10+J11+J12+J17+J18+J19+J37+J42</f>
        <v>36658265.370000005</v>
      </c>
      <c r="K9" s="127">
        <f>K10+K11+K12+K17+K18+K19+K37+K42</f>
        <v>54227212.670000002</v>
      </c>
    </row>
    <row r="10" spans="1:12">
      <c r="A10" s="127">
        <f>D10+D11-D16</f>
        <v>60457884.700000003</v>
      </c>
      <c r="C10">
        <v>211</v>
      </c>
      <c r="D10" s="127">
        <f>ПЛАН!BY76</f>
        <v>46775345</v>
      </c>
      <c r="E10" t="s">
        <v>1034</v>
      </c>
      <c r="H10">
        <v>211</v>
      </c>
      <c r="I10">
        <v>13829161.619999999</v>
      </c>
      <c r="J10">
        <v>27931354.300000001</v>
      </c>
      <c r="K10">
        <f>I10+J10</f>
        <v>41760515.920000002</v>
      </c>
      <c r="L10">
        <f>K10+K11</f>
        <v>54227212.670000002</v>
      </c>
    </row>
    <row r="11" spans="1:12">
      <c r="C11">
        <v>213</v>
      </c>
      <c r="D11" s="127">
        <f>ПЛАН!BY100</f>
        <v>14126185</v>
      </c>
      <c r="E11" t="s">
        <v>1035</v>
      </c>
      <c r="H11">
        <v>213</v>
      </c>
      <c r="I11">
        <v>3739785.68</v>
      </c>
      <c r="J11">
        <v>8726911.0700000003</v>
      </c>
      <c r="K11">
        <f t="shared" ref="K11:K42" si="1">I11+J11</f>
        <v>12466696.75</v>
      </c>
    </row>
    <row r="12" spans="1:12">
      <c r="A12">
        <v>112</v>
      </c>
      <c r="D12">
        <f>D13+D15+D16+D14</f>
        <v>585645.30000000005</v>
      </c>
      <c r="I12">
        <f t="shared" ref="I12" si="2">I13+I15+I16+I14</f>
        <v>0</v>
      </c>
      <c r="J12">
        <f>J13+J15+J16+J14</f>
        <v>0</v>
      </c>
      <c r="K12">
        <f t="shared" si="1"/>
        <v>0</v>
      </c>
    </row>
    <row r="13" spans="1:12">
      <c r="C13">
        <v>212</v>
      </c>
      <c r="D13">
        <f>'прочие выпл'!C7</f>
        <v>7000</v>
      </c>
      <c r="E13" t="s">
        <v>1033</v>
      </c>
      <c r="H13">
        <v>212</v>
      </c>
      <c r="K13">
        <f t="shared" si="1"/>
        <v>0</v>
      </c>
    </row>
    <row r="14" spans="1:12">
      <c r="C14">
        <v>222</v>
      </c>
      <c r="D14">
        <f>'прочие выпл'!C9</f>
        <v>80000</v>
      </c>
      <c r="E14" t="s">
        <v>1036</v>
      </c>
      <c r="H14">
        <v>222</v>
      </c>
      <c r="K14">
        <f t="shared" si="1"/>
        <v>0</v>
      </c>
    </row>
    <row r="15" spans="1:12">
      <c r="C15">
        <v>226</v>
      </c>
      <c r="D15">
        <f>'прочие выпл'!C11</f>
        <v>55000</v>
      </c>
      <c r="E15" t="s">
        <v>1037</v>
      </c>
      <c r="H15">
        <v>226</v>
      </c>
      <c r="K15">
        <f t="shared" si="1"/>
        <v>0</v>
      </c>
    </row>
    <row r="16" spans="1:12">
      <c r="C16">
        <v>266</v>
      </c>
      <c r="D16">
        <f>'прочие выпл'!C16</f>
        <v>443645.3</v>
      </c>
      <c r="E16" t="s">
        <v>1032</v>
      </c>
      <c r="H16">
        <v>266</v>
      </c>
      <c r="K16">
        <f t="shared" si="1"/>
        <v>0</v>
      </c>
    </row>
    <row r="17" spans="1:11">
      <c r="C17">
        <v>222</v>
      </c>
      <c r="H17">
        <v>222</v>
      </c>
      <c r="K17">
        <f t="shared" si="1"/>
        <v>0</v>
      </c>
    </row>
    <row r="18" spans="1:11">
      <c r="A18">
        <v>247</v>
      </c>
      <c r="C18">
        <v>223</v>
      </c>
      <c r="D18">
        <f>'работы и услуги'!E104</f>
        <v>3348000.0000000005</v>
      </c>
      <c r="E18" t="s">
        <v>1016</v>
      </c>
      <c r="F18">
        <v>247</v>
      </c>
      <c r="H18">
        <v>223</v>
      </c>
      <c r="K18">
        <f t="shared" si="1"/>
        <v>0</v>
      </c>
    </row>
    <row r="19" spans="1:11">
      <c r="A19">
        <v>244</v>
      </c>
      <c r="D19">
        <f>D20+D24+D25+D26+D27+D21+D22+D23</f>
        <v>32711000.720146369</v>
      </c>
      <c r="F19">
        <v>244</v>
      </c>
      <c r="I19">
        <f>I20+I24+I25+I26+I27+I21+I22+I23</f>
        <v>0</v>
      </c>
      <c r="J19">
        <f>J20+J24+J25+J26+J27+J21+J22+J23</f>
        <v>0</v>
      </c>
      <c r="K19">
        <f t="shared" si="1"/>
        <v>0</v>
      </c>
    </row>
    <row r="20" spans="1:11">
      <c r="C20">
        <v>223</v>
      </c>
      <c r="D20">
        <f>'работы и услуги'!E26</f>
        <v>988536.15</v>
      </c>
      <c r="E20" t="s">
        <v>1017</v>
      </c>
      <c r="H20">
        <v>223</v>
      </c>
      <c r="K20">
        <f t="shared" si="1"/>
        <v>0</v>
      </c>
    </row>
    <row r="21" spans="1:11">
      <c r="D21">
        <f>'работы и услуги'!E27</f>
        <v>184010.11200000002</v>
      </c>
      <c r="E21" t="s">
        <v>718</v>
      </c>
      <c r="I21">
        <f>'работы и услуги'!J27</f>
        <v>0</v>
      </c>
      <c r="J21">
        <f>'работы и услуги'!K27</f>
        <v>0</v>
      </c>
      <c r="K21">
        <f t="shared" si="1"/>
        <v>0</v>
      </c>
    </row>
    <row r="22" spans="1:11">
      <c r="C22">
        <v>221</v>
      </c>
      <c r="D22">
        <f>'работы и услуги'!E21</f>
        <v>177900</v>
      </c>
      <c r="E22" t="s">
        <v>320</v>
      </c>
      <c r="H22">
        <v>221</v>
      </c>
      <c r="K22">
        <f t="shared" si="1"/>
        <v>0</v>
      </c>
    </row>
    <row r="23" spans="1:11">
      <c r="C23">
        <v>222</v>
      </c>
      <c r="D23">
        <f>'работы и услуги'!D60</f>
        <v>225000</v>
      </c>
      <c r="E23" t="s">
        <v>1031</v>
      </c>
      <c r="H23">
        <v>222</v>
      </c>
      <c r="K23">
        <f t="shared" si="1"/>
        <v>0</v>
      </c>
    </row>
    <row r="24" spans="1:11">
      <c r="C24">
        <v>225</v>
      </c>
      <c r="D24">
        <f>'работы и услуги'!D56</f>
        <v>1026800</v>
      </c>
      <c r="E24" t="s">
        <v>1028</v>
      </c>
      <c r="H24">
        <v>225</v>
      </c>
      <c r="K24">
        <f t="shared" si="1"/>
        <v>0</v>
      </c>
    </row>
    <row r="25" spans="1:11">
      <c r="C25">
        <v>226</v>
      </c>
      <c r="D25">
        <f>'работы и услуги'!D91+'работы и услуги'!D98</f>
        <v>4225000</v>
      </c>
      <c r="E25" t="s">
        <v>1029</v>
      </c>
      <c r="H25">
        <v>226</v>
      </c>
      <c r="K25">
        <f t="shared" si="1"/>
        <v>0</v>
      </c>
    </row>
    <row r="26" spans="1:11">
      <c r="C26">
        <v>310</v>
      </c>
      <c r="D26">
        <f>'ОС и МЗ'!E25</f>
        <v>557440</v>
      </c>
      <c r="E26" t="s">
        <v>1030</v>
      </c>
      <c r="H26">
        <v>310</v>
      </c>
      <c r="K26">
        <f t="shared" si="1"/>
        <v>0</v>
      </c>
    </row>
    <row r="27" spans="1:11">
      <c r="B27">
        <v>340</v>
      </c>
      <c r="D27">
        <f>D28+D29+D31+D34+D35+D36+D32+D33+D30</f>
        <v>25326314.458146367</v>
      </c>
      <c r="G27">
        <v>340</v>
      </c>
      <c r="I27">
        <f>I28+I29+I31+I34+I35+I36+I32+I33+I30</f>
        <v>0</v>
      </c>
      <c r="J27">
        <f>J28+J29+J31+J34+J35+J36+J32+J33+J30</f>
        <v>0</v>
      </c>
      <c r="K27">
        <f t="shared" si="1"/>
        <v>0</v>
      </c>
    </row>
    <row r="28" spans="1:11">
      <c r="C28">
        <v>341</v>
      </c>
      <c r="D28">
        <f>'ОС и МЗ'!E56</f>
        <v>288574.76</v>
      </c>
      <c r="E28" t="s">
        <v>1026</v>
      </c>
      <c r="H28">
        <v>341</v>
      </c>
      <c r="K28">
        <f t="shared" si="1"/>
        <v>0</v>
      </c>
    </row>
    <row r="29" spans="1:11">
      <c r="C29">
        <v>342</v>
      </c>
      <c r="D29">
        <f>'ОС и МЗ'!D106</f>
        <v>17074461.832699999</v>
      </c>
      <c r="E29" t="s">
        <v>1087</v>
      </c>
      <c r="H29">
        <v>342</v>
      </c>
      <c r="K29">
        <f t="shared" si="1"/>
        <v>0</v>
      </c>
    </row>
    <row r="30" spans="1:11">
      <c r="D30">
        <f>'ОС и МЗ'!E378</f>
        <v>1201384.0519999999</v>
      </c>
      <c r="E30" t="s">
        <v>1027</v>
      </c>
      <c r="K30">
        <f t="shared" si="1"/>
        <v>0</v>
      </c>
    </row>
    <row r="31" spans="1:11">
      <c r="C31">
        <v>343</v>
      </c>
      <c r="D31">
        <f>'ОС и МЗ'!E116</f>
        <v>579958</v>
      </c>
      <c r="E31" t="s">
        <v>1019</v>
      </c>
      <c r="H31">
        <v>343</v>
      </c>
      <c r="K31">
        <f t="shared" si="1"/>
        <v>0</v>
      </c>
    </row>
    <row r="32" spans="1:11">
      <c r="C32">
        <v>343</v>
      </c>
      <c r="D32">
        <f>'ОС и МЗ'!E122</f>
        <v>3115896</v>
      </c>
      <c r="E32" t="s">
        <v>1018</v>
      </c>
      <c r="H32">
        <v>343</v>
      </c>
      <c r="K32">
        <f t="shared" si="1"/>
        <v>0</v>
      </c>
    </row>
    <row r="33" spans="2:11">
      <c r="C33">
        <v>344</v>
      </c>
      <c r="D33">
        <f>'ОС и МЗ'!E170</f>
        <v>158985.99900000001</v>
      </c>
      <c r="E33" t="s">
        <v>1020</v>
      </c>
      <c r="H33">
        <v>344</v>
      </c>
      <c r="K33">
        <f t="shared" si="1"/>
        <v>0</v>
      </c>
    </row>
    <row r="34" spans="2:11">
      <c r="C34">
        <v>345</v>
      </c>
      <c r="D34">
        <f>'ОС и МЗ'!H201</f>
        <v>972394</v>
      </c>
      <c r="E34" t="s">
        <v>1021</v>
      </c>
      <c r="H34">
        <v>345</v>
      </c>
      <c r="K34">
        <f t="shared" si="1"/>
        <v>0</v>
      </c>
    </row>
    <row r="35" spans="2:11">
      <c r="C35">
        <v>346</v>
      </c>
      <c r="D35">
        <f>'ОС и МЗ'!E226</f>
        <v>1060106.2</v>
      </c>
      <c r="H35">
        <v>346</v>
      </c>
      <c r="K35">
        <f t="shared" si="1"/>
        <v>0</v>
      </c>
    </row>
    <row r="36" spans="2:11">
      <c r="C36">
        <v>349</v>
      </c>
      <c r="D36">
        <f>'ОС и МЗ'!E358</f>
        <v>874553.61444636248</v>
      </c>
      <c r="E36" t="s">
        <v>1022</v>
      </c>
      <c r="H36">
        <v>349</v>
      </c>
      <c r="K36">
        <f t="shared" si="1"/>
        <v>0</v>
      </c>
    </row>
    <row r="37" spans="2:11">
      <c r="B37">
        <v>850</v>
      </c>
      <c r="D37">
        <f>D38+D39+D40</f>
        <v>364183.42599999998</v>
      </c>
      <c r="G37">
        <v>850</v>
      </c>
      <c r="I37">
        <f>I38+I39+I40</f>
        <v>0</v>
      </c>
      <c r="J37">
        <f>J38+J39+J40</f>
        <v>0</v>
      </c>
      <c r="K37">
        <f t="shared" si="1"/>
        <v>0</v>
      </c>
    </row>
    <row r="38" spans="2:11">
      <c r="C38">
        <v>851</v>
      </c>
      <c r="D38">
        <f>Налоги!C15</f>
        <v>111735.42600000001</v>
      </c>
      <c r="E38" t="s">
        <v>1023</v>
      </c>
      <c r="H38">
        <v>851</v>
      </c>
      <c r="K38">
        <f t="shared" si="1"/>
        <v>0</v>
      </c>
    </row>
    <row r="39" spans="2:11">
      <c r="C39">
        <v>852</v>
      </c>
      <c r="D39">
        <f>Налоги!C26</f>
        <v>84000</v>
      </c>
      <c r="E39" t="s">
        <v>1024</v>
      </c>
      <c r="H39">
        <v>852</v>
      </c>
      <c r="K39">
        <f t="shared" si="1"/>
        <v>0</v>
      </c>
    </row>
    <row r="40" spans="2:11">
      <c r="C40">
        <v>853</v>
      </c>
      <c r="D40">
        <f>Налоги!C35</f>
        <v>168448</v>
      </c>
      <c r="E40" t="s">
        <v>1025</v>
      </c>
      <c r="H40">
        <v>853</v>
      </c>
      <c r="K40">
        <f t="shared" si="1"/>
        <v>0</v>
      </c>
    </row>
    <row r="41" spans="2:11">
      <c r="K41">
        <f t="shared" si="1"/>
        <v>0</v>
      </c>
    </row>
    <row r="42" spans="2:11">
      <c r="B42" t="s">
        <v>1039</v>
      </c>
      <c r="D42" s="435">
        <v>500000</v>
      </c>
      <c r="G42" t="s">
        <v>1039</v>
      </c>
      <c r="K42">
        <f t="shared" si="1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C153"/>
  <sheetViews>
    <sheetView tabSelected="1" topLeftCell="A4" zoomScale="58" zoomScaleNormal="58" workbookViewId="0">
      <selection activeCell="D4" sqref="D4:P4"/>
    </sheetView>
  </sheetViews>
  <sheetFormatPr defaultRowHeight="15.6"/>
  <cols>
    <col min="1" max="1" width="27.59765625" customWidth="1"/>
    <col min="2" max="2" width="10.59765625" customWidth="1"/>
    <col min="3" max="3" width="18.59765625" style="257" customWidth="1"/>
    <col min="4" max="4" width="18.69921875" customWidth="1"/>
    <col min="5" max="5" width="8.3984375" customWidth="1"/>
    <col min="6" max="6" width="7.8984375" customWidth="1"/>
    <col min="7" max="7" width="6.59765625" customWidth="1"/>
    <col min="8" max="9" width="6.796875" customWidth="1"/>
    <col min="10" max="10" width="8.3984375" customWidth="1"/>
    <col min="11" max="11" width="7.09765625" customWidth="1"/>
    <col min="12" max="12" width="7.8984375" customWidth="1"/>
    <col min="13" max="13" width="8.8984375" bestFit="1" customWidth="1"/>
    <col min="14" max="14" width="18" style="432" customWidth="1"/>
    <col min="15" max="15" width="16.59765625" customWidth="1"/>
    <col min="16" max="16" width="14.09765625" customWidth="1"/>
    <col min="17" max="17" width="9" style="257" hidden="1" customWidth="1"/>
    <col min="18" max="58" width="9" hidden="1" customWidth="1"/>
    <col min="59" max="59" width="19.796875" customWidth="1"/>
    <col min="60" max="60" width="0.3984375" customWidth="1"/>
    <col min="61" max="61" width="20.8984375" customWidth="1"/>
    <col min="62" max="62" width="10.59765625" hidden="1" customWidth="1"/>
    <col min="63" max="63" width="8.19921875" customWidth="1"/>
    <col min="64" max="64" width="9" customWidth="1"/>
    <col min="65" max="65" width="14.296875" customWidth="1"/>
    <col min="66" max="66" width="7" customWidth="1"/>
    <col min="67" max="67" width="7.3984375" customWidth="1"/>
    <col min="68" max="68" width="7.59765625" customWidth="1"/>
    <col min="69" max="69" width="14.3984375" customWidth="1"/>
    <col min="70" max="70" width="15.69921875" customWidth="1"/>
    <col min="71" max="71" width="17.3984375" customWidth="1"/>
    <col min="72" max="72" width="12.296875" customWidth="1"/>
    <col min="73" max="73" width="13.3984375" customWidth="1"/>
    <col min="74" max="74" width="7.19921875" hidden="1" customWidth="1"/>
    <col min="75" max="75" width="6.796875" hidden="1" customWidth="1"/>
    <col min="76" max="76" width="7.19921875" hidden="1" customWidth="1"/>
    <col min="77" max="77" width="18.3984375" customWidth="1"/>
    <col min="78" max="78" width="0.296875" hidden="1" customWidth="1"/>
    <col min="79" max="81" width="8.796875" hidden="1" customWidth="1"/>
  </cols>
  <sheetData>
    <row r="1" spans="1:81" ht="18" hidden="1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42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475"/>
      <c r="BZ1" s="475"/>
      <c r="CA1" s="475"/>
      <c r="CB1" s="475"/>
      <c r="CC1" s="101"/>
    </row>
    <row r="2" spans="1:81" ht="18" hidden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422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41"/>
      <c r="BX2" s="141"/>
      <c r="BY2" s="141"/>
      <c r="BZ2" s="476" t="s">
        <v>352</v>
      </c>
      <c r="CA2" s="476"/>
      <c r="CB2" s="476"/>
      <c r="CC2" s="101"/>
    </row>
    <row r="3" spans="1:81" ht="18" hidden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422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</row>
    <row r="4" spans="1:81" ht="18">
      <c r="A4" s="101"/>
      <c r="B4" s="101"/>
      <c r="C4" s="101"/>
      <c r="D4" s="477" t="s">
        <v>1103</v>
      </c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</row>
    <row r="5" spans="1:81" ht="18">
      <c r="A5" s="101"/>
      <c r="B5" s="101"/>
      <c r="C5" s="101"/>
      <c r="D5" s="148"/>
      <c r="E5" s="148"/>
      <c r="F5" s="148"/>
      <c r="G5" s="148"/>
      <c r="H5" s="148"/>
      <c r="I5" s="148" t="s">
        <v>1012</v>
      </c>
      <c r="J5" s="148"/>
      <c r="K5" s="148"/>
      <c r="L5" s="148"/>
      <c r="M5" s="148"/>
      <c r="N5" s="423"/>
      <c r="O5" s="148"/>
      <c r="P5" s="148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</row>
    <row r="6" spans="1:81" ht="18">
      <c r="A6" s="101"/>
      <c r="B6" s="101"/>
      <c r="C6" s="101"/>
      <c r="D6" s="478" t="s">
        <v>356</v>
      </c>
      <c r="E6" s="478"/>
      <c r="F6" s="478"/>
      <c r="G6" s="478"/>
      <c r="H6" s="478"/>
      <c r="I6" s="478"/>
      <c r="J6" s="478"/>
      <c r="K6" s="478"/>
      <c r="L6" s="478"/>
      <c r="M6" s="478"/>
      <c r="N6" s="478"/>
      <c r="O6" s="478"/>
      <c r="P6" s="478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</row>
    <row r="7" spans="1:81" ht="18" hidden="1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422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479" t="s">
        <v>357</v>
      </c>
      <c r="CB7" s="479"/>
      <c r="CC7" s="101"/>
    </row>
    <row r="8" spans="1:81" ht="18" hidden="1">
      <c r="A8" s="477"/>
      <c r="B8" s="47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  <c r="O8" s="477"/>
      <c r="P8" s="477"/>
      <c r="Q8" s="477"/>
      <c r="R8" s="477"/>
      <c r="S8" s="477"/>
      <c r="T8" s="477"/>
      <c r="U8" s="477"/>
      <c r="V8" s="477"/>
      <c r="W8" s="477"/>
      <c r="X8" s="477"/>
      <c r="Y8" s="477"/>
      <c r="Z8" s="477"/>
      <c r="AA8" s="477"/>
      <c r="AB8" s="477"/>
      <c r="AC8" s="477"/>
      <c r="AD8" s="477"/>
      <c r="AE8" s="477"/>
      <c r="AF8" s="477"/>
      <c r="AG8" s="477"/>
      <c r="AH8" s="477"/>
      <c r="AI8" s="477"/>
      <c r="AJ8" s="477"/>
      <c r="AK8" s="477"/>
      <c r="AL8" s="477"/>
      <c r="AM8" s="477"/>
      <c r="AN8" s="477"/>
      <c r="AO8" s="477"/>
      <c r="AP8" s="477"/>
      <c r="AQ8" s="477"/>
      <c r="AR8" s="477"/>
      <c r="AS8" s="477"/>
      <c r="AT8" s="477"/>
      <c r="AU8" s="477"/>
      <c r="AV8" s="477"/>
      <c r="AW8" s="477"/>
      <c r="AX8" s="477"/>
      <c r="AY8" s="477"/>
      <c r="AZ8" s="477"/>
      <c r="BA8" s="477"/>
      <c r="BB8" s="477"/>
      <c r="BC8" s="477"/>
      <c r="BD8" s="477"/>
      <c r="BE8" s="477"/>
      <c r="BF8" s="477"/>
      <c r="BG8" s="477"/>
      <c r="BH8" s="477"/>
      <c r="BI8" s="477"/>
      <c r="BJ8" s="477"/>
      <c r="BK8" s="477"/>
      <c r="BL8" s="477"/>
      <c r="BM8" s="477"/>
      <c r="BN8" s="477"/>
      <c r="BO8" s="477"/>
      <c r="BP8" s="477"/>
      <c r="BQ8" s="477"/>
      <c r="BR8" s="477"/>
      <c r="BS8" s="477"/>
      <c r="BT8" s="477"/>
      <c r="BU8" s="477"/>
      <c r="BV8" s="477"/>
      <c r="BW8" s="477"/>
      <c r="BX8" s="477"/>
      <c r="BY8" s="477"/>
      <c r="BZ8" s="477"/>
      <c r="CA8" s="477"/>
      <c r="CB8" s="477"/>
      <c r="CC8" s="102"/>
    </row>
    <row r="9" spans="1:81" ht="18" hidden="1">
      <c r="A9" s="480" t="s">
        <v>446</v>
      </c>
      <c r="B9" s="480"/>
      <c r="C9" s="480"/>
      <c r="D9" s="480"/>
      <c r="E9" s="480"/>
      <c r="F9" s="480"/>
      <c r="G9" s="480"/>
      <c r="H9" s="480"/>
      <c r="I9" s="480"/>
      <c r="J9" s="480"/>
      <c r="K9" s="480"/>
      <c r="L9" s="480"/>
      <c r="M9" s="480"/>
      <c r="N9" s="480"/>
      <c r="O9" s="480"/>
      <c r="P9" s="480"/>
      <c r="Q9" s="480"/>
      <c r="R9" s="480"/>
      <c r="S9" s="480"/>
      <c r="T9" s="480"/>
      <c r="U9" s="480"/>
      <c r="V9" s="480"/>
      <c r="W9" s="480"/>
      <c r="X9" s="480"/>
      <c r="Y9" s="480"/>
      <c r="Z9" s="480"/>
      <c r="AA9" s="480"/>
      <c r="AB9" s="480"/>
      <c r="AC9" s="480"/>
      <c r="AD9" s="480"/>
      <c r="AE9" s="480"/>
      <c r="AF9" s="480"/>
      <c r="AG9" s="480"/>
      <c r="AH9" s="480"/>
      <c r="AI9" s="480"/>
      <c r="AJ9" s="480"/>
      <c r="AK9" s="480"/>
      <c r="AL9" s="480"/>
      <c r="AM9" s="480"/>
      <c r="AN9" s="480"/>
      <c r="AO9" s="480"/>
      <c r="AP9" s="480"/>
      <c r="AQ9" s="480"/>
      <c r="AR9" s="480"/>
      <c r="AS9" s="480"/>
      <c r="AT9" s="480"/>
      <c r="AU9" s="480"/>
      <c r="AV9" s="480"/>
      <c r="AW9" s="480"/>
      <c r="AX9" s="480"/>
      <c r="AY9" s="480"/>
      <c r="AZ9" s="480"/>
      <c r="BA9" s="480"/>
      <c r="BB9" s="480"/>
      <c r="BC9" s="480"/>
      <c r="BD9" s="480"/>
      <c r="BE9" s="480"/>
      <c r="BF9" s="480"/>
      <c r="BG9" s="480"/>
      <c r="BH9" s="480"/>
      <c r="BI9" s="480"/>
      <c r="BJ9" s="480"/>
      <c r="BK9" s="480"/>
      <c r="BL9" s="480"/>
      <c r="BM9" s="480"/>
      <c r="BN9" s="480"/>
      <c r="BO9" s="480"/>
      <c r="BP9" s="480"/>
      <c r="BQ9" s="480"/>
      <c r="BR9" s="480"/>
      <c r="BS9" s="480"/>
      <c r="BT9" s="480"/>
      <c r="BU9" s="480"/>
      <c r="BV9" s="480"/>
      <c r="BW9" s="480"/>
      <c r="BX9" s="480"/>
      <c r="BY9" s="480"/>
      <c r="BZ9" s="480"/>
      <c r="CA9" s="480"/>
      <c r="CB9" s="480"/>
      <c r="CC9" s="102"/>
    </row>
    <row r="10" spans="1:81">
      <c r="A10" s="465" t="s">
        <v>448</v>
      </c>
      <c r="B10" s="465" t="s">
        <v>594</v>
      </c>
      <c r="C10" s="481" t="s">
        <v>181</v>
      </c>
      <c r="D10" s="481"/>
      <c r="E10" s="481"/>
      <c r="F10" s="481"/>
      <c r="G10" s="481"/>
      <c r="H10" s="481"/>
      <c r="I10" s="481"/>
      <c r="J10" s="481"/>
      <c r="K10" s="481"/>
      <c r="L10" s="481"/>
      <c r="M10" s="481"/>
      <c r="N10" s="481"/>
      <c r="O10" s="481"/>
      <c r="P10" s="481"/>
      <c r="Q10" s="482" t="s">
        <v>530</v>
      </c>
      <c r="R10" s="482"/>
      <c r="S10" s="482"/>
      <c r="T10" s="482"/>
      <c r="U10" s="482"/>
      <c r="V10" s="482"/>
      <c r="W10" s="482"/>
      <c r="X10" s="482"/>
      <c r="Y10" s="482"/>
      <c r="Z10" s="482"/>
      <c r="AA10" s="482"/>
      <c r="AB10" s="482"/>
      <c r="AC10" s="482"/>
      <c r="AD10" s="482"/>
      <c r="AE10" s="482"/>
      <c r="AF10" s="482"/>
      <c r="AG10" s="482"/>
      <c r="AH10" s="482"/>
      <c r="AI10" s="482"/>
      <c r="AJ10" s="482"/>
      <c r="AK10" s="482"/>
      <c r="AL10" s="482"/>
      <c r="AM10" s="482"/>
      <c r="AN10" s="482"/>
      <c r="AO10" s="482"/>
      <c r="AP10" s="482"/>
      <c r="AQ10" s="482"/>
      <c r="AR10" s="482"/>
      <c r="AS10" s="482"/>
      <c r="AT10" s="482"/>
      <c r="AU10" s="482"/>
      <c r="AV10" s="482"/>
      <c r="AW10" s="482"/>
      <c r="AX10" s="482"/>
      <c r="AY10" s="483"/>
      <c r="AZ10" s="484" t="s">
        <v>183</v>
      </c>
      <c r="BA10" s="485"/>
      <c r="BB10" s="486"/>
      <c r="BC10" s="484" t="s">
        <v>184</v>
      </c>
      <c r="BD10" s="485"/>
      <c r="BE10" s="485"/>
      <c r="BF10" s="486"/>
      <c r="BG10" s="487" t="s">
        <v>186</v>
      </c>
      <c r="BH10" s="482"/>
      <c r="BI10" s="482"/>
      <c r="BJ10" s="482"/>
      <c r="BK10" s="482"/>
      <c r="BL10" s="482"/>
      <c r="BM10" s="482"/>
      <c r="BN10" s="482"/>
      <c r="BO10" s="482"/>
      <c r="BP10" s="482"/>
      <c r="BQ10" s="482"/>
      <c r="BR10" s="482"/>
      <c r="BS10" s="482"/>
      <c r="BT10" s="482"/>
      <c r="BU10" s="482"/>
      <c r="BV10" s="482"/>
      <c r="BW10" s="482"/>
      <c r="BX10" s="483"/>
      <c r="BY10" s="464" t="s">
        <v>187</v>
      </c>
      <c r="BZ10" s="487" t="s">
        <v>188</v>
      </c>
      <c r="CA10" s="482"/>
      <c r="CB10" s="482"/>
      <c r="CC10" s="103"/>
    </row>
    <row r="11" spans="1:81">
      <c r="A11" s="465"/>
      <c r="B11" s="465"/>
      <c r="C11" s="488" t="s">
        <v>189</v>
      </c>
      <c r="D11" s="472" t="s">
        <v>533</v>
      </c>
      <c r="E11" s="473"/>
      <c r="F11" s="473"/>
      <c r="G11" s="473"/>
      <c r="H11" s="473"/>
      <c r="I11" s="473"/>
      <c r="J11" s="473"/>
      <c r="K11" s="473"/>
      <c r="L11" s="473"/>
      <c r="M11" s="473"/>
      <c r="N11" s="473"/>
      <c r="O11" s="474"/>
      <c r="P11" s="466" t="s">
        <v>190</v>
      </c>
      <c r="Q11" s="488" t="s">
        <v>182</v>
      </c>
      <c r="R11" s="461" t="s">
        <v>496</v>
      </c>
      <c r="S11" s="461" t="s">
        <v>497</v>
      </c>
      <c r="T11" s="461" t="s">
        <v>498</v>
      </c>
      <c r="U11" s="461" t="s">
        <v>499</v>
      </c>
      <c r="V11" s="461" t="s">
        <v>500</v>
      </c>
      <c r="W11" s="461" t="s">
        <v>501</v>
      </c>
      <c r="X11" s="461" t="s">
        <v>502</v>
      </c>
      <c r="Y11" s="461" t="s">
        <v>503</v>
      </c>
      <c r="Z11" s="461" t="s">
        <v>504</v>
      </c>
      <c r="AA11" s="461" t="s">
        <v>505</v>
      </c>
      <c r="AB11" s="461" t="s">
        <v>506</v>
      </c>
      <c r="AC11" s="461" t="s">
        <v>507</v>
      </c>
      <c r="AD11" s="461" t="s">
        <v>508</v>
      </c>
      <c r="AE11" s="461" t="s">
        <v>509</v>
      </c>
      <c r="AF11" s="461" t="s">
        <v>510</v>
      </c>
      <c r="AG11" s="461" t="s">
        <v>511</v>
      </c>
      <c r="AH11" s="461" t="s">
        <v>512</v>
      </c>
      <c r="AI11" s="461" t="s">
        <v>513</v>
      </c>
      <c r="AJ11" s="461" t="s">
        <v>514</v>
      </c>
      <c r="AK11" s="461" t="s">
        <v>515</v>
      </c>
      <c r="AL11" s="461" t="s">
        <v>516</v>
      </c>
      <c r="AM11" s="461" t="s">
        <v>517</v>
      </c>
      <c r="AN11" s="461" t="s">
        <v>518</v>
      </c>
      <c r="AO11" s="461" t="s">
        <v>519</v>
      </c>
      <c r="AP11" s="461" t="s">
        <v>520</v>
      </c>
      <c r="AQ11" s="461" t="s">
        <v>521</v>
      </c>
      <c r="AR11" s="461" t="s">
        <v>522</v>
      </c>
      <c r="AS11" s="461" t="s">
        <v>523</v>
      </c>
      <c r="AT11" s="461" t="s">
        <v>524</v>
      </c>
      <c r="AU11" s="461" t="s">
        <v>525</v>
      </c>
      <c r="AV11" s="461" t="s">
        <v>526</v>
      </c>
      <c r="AW11" s="461" t="s">
        <v>527</v>
      </c>
      <c r="AX11" s="461" t="s">
        <v>528</v>
      </c>
      <c r="AY11" s="461" t="s">
        <v>529</v>
      </c>
      <c r="AZ11" s="497" t="s">
        <v>164</v>
      </c>
      <c r="BA11" s="499" t="s">
        <v>9</v>
      </c>
      <c r="BB11" s="500"/>
      <c r="BC11" s="464" t="s">
        <v>191</v>
      </c>
      <c r="BD11" s="465" t="s">
        <v>9</v>
      </c>
      <c r="BE11" s="465"/>
      <c r="BF11" s="465"/>
      <c r="BG11" s="469" t="s">
        <v>185</v>
      </c>
      <c r="BH11" s="461"/>
      <c r="BI11" s="472" t="s">
        <v>536</v>
      </c>
      <c r="BJ11" s="473"/>
      <c r="BK11" s="473"/>
      <c r="BL11" s="473"/>
      <c r="BM11" s="472" t="s">
        <v>192</v>
      </c>
      <c r="BN11" s="473"/>
      <c r="BO11" s="473"/>
      <c r="BP11" s="474"/>
      <c r="BQ11" s="493" t="s">
        <v>193</v>
      </c>
      <c r="BR11" s="465" t="s">
        <v>194</v>
      </c>
      <c r="BS11" s="465"/>
      <c r="BT11" s="465"/>
      <c r="BU11" s="465"/>
      <c r="BV11" s="465" t="s">
        <v>195</v>
      </c>
      <c r="BW11" s="496" t="s">
        <v>196</v>
      </c>
      <c r="BX11" s="465" t="s">
        <v>197</v>
      </c>
      <c r="BY11" s="464"/>
      <c r="BZ11" s="493" t="s">
        <v>164</v>
      </c>
      <c r="CA11" s="465" t="s">
        <v>198</v>
      </c>
      <c r="CB11" s="465" t="s">
        <v>199</v>
      </c>
      <c r="CC11" s="103"/>
    </row>
    <row r="12" spans="1:81">
      <c r="A12" s="465"/>
      <c r="B12" s="465"/>
      <c r="C12" s="489"/>
      <c r="D12" s="472" t="s">
        <v>531</v>
      </c>
      <c r="E12" s="473"/>
      <c r="F12" s="473"/>
      <c r="G12" s="473"/>
      <c r="H12" s="473"/>
      <c r="I12" s="473"/>
      <c r="J12" s="473"/>
      <c r="K12" s="473"/>
      <c r="L12" s="473"/>
      <c r="M12" s="474"/>
      <c r="N12" s="491" t="s">
        <v>532</v>
      </c>
      <c r="O12" s="492"/>
      <c r="P12" s="467"/>
      <c r="Q12" s="489"/>
      <c r="R12" s="462"/>
      <c r="S12" s="462"/>
      <c r="T12" s="462"/>
      <c r="U12" s="462"/>
      <c r="V12" s="462"/>
      <c r="W12" s="462"/>
      <c r="X12" s="462"/>
      <c r="Y12" s="462"/>
      <c r="Z12" s="462"/>
      <c r="AA12" s="462"/>
      <c r="AB12" s="462"/>
      <c r="AC12" s="462"/>
      <c r="AD12" s="462"/>
      <c r="AE12" s="462"/>
      <c r="AF12" s="462"/>
      <c r="AG12" s="462"/>
      <c r="AH12" s="462"/>
      <c r="AI12" s="462"/>
      <c r="AJ12" s="462"/>
      <c r="AK12" s="462"/>
      <c r="AL12" s="462"/>
      <c r="AM12" s="462"/>
      <c r="AN12" s="462"/>
      <c r="AO12" s="462"/>
      <c r="AP12" s="462"/>
      <c r="AQ12" s="462"/>
      <c r="AR12" s="462"/>
      <c r="AS12" s="462"/>
      <c r="AT12" s="462"/>
      <c r="AU12" s="462"/>
      <c r="AV12" s="462"/>
      <c r="AW12" s="462"/>
      <c r="AX12" s="462"/>
      <c r="AY12" s="462"/>
      <c r="AZ12" s="497"/>
      <c r="BA12" s="195"/>
      <c r="BB12" s="196"/>
      <c r="BC12" s="464"/>
      <c r="BD12" s="105"/>
      <c r="BE12" s="105"/>
      <c r="BF12" s="105"/>
      <c r="BG12" s="470"/>
      <c r="BH12" s="462"/>
      <c r="BI12" s="468" t="s">
        <v>629</v>
      </c>
      <c r="BJ12" s="468"/>
      <c r="BK12" s="468" t="s">
        <v>206</v>
      </c>
      <c r="BL12" s="468" t="s">
        <v>207</v>
      </c>
      <c r="BM12" s="468" t="s">
        <v>204</v>
      </c>
      <c r="BN12" s="468" t="s">
        <v>205</v>
      </c>
      <c r="BO12" s="468" t="s">
        <v>206</v>
      </c>
      <c r="BP12" s="468" t="s">
        <v>207</v>
      </c>
      <c r="BQ12" s="494"/>
      <c r="BR12" s="105"/>
      <c r="BS12" s="300" t="s">
        <v>1027</v>
      </c>
      <c r="BT12" s="300" t="s">
        <v>1040</v>
      </c>
      <c r="BU12" s="300" t="s">
        <v>1037</v>
      </c>
      <c r="BV12" s="465"/>
      <c r="BW12" s="496"/>
      <c r="BX12" s="465"/>
      <c r="BY12" s="464"/>
      <c r="BZ12" s="494"/>
      <c r="CA12" s="465"/>
      <c r="CB12" s="465"/>
      <c r="CC12" s="103"/>
    </row>
    <row r="13" spans="1:81" ht="152.4" customHeight="1">
      <c r="A13" s="465"/>
      <c r="B13" s="465"/>
      <c r="C13" s="490"/>
      <c r="D13" s="104" t="s">
        <v>557</v>
      </c>
      <c r="E13" s="104" t="s">
        <v>490</v>
      </c>
      <c r="F13" s="104" t="s">
        <v>556</v>
      </c>
      <c r="G13" s="104" t="s">
        <v>491</v>
      </c>
      <c r="H13" s="104" t="s">
        <v>492</v>
      </c>
      <c r="I13" s="104" t="s">
        <v>534</v>
      </c>
      <c r="J13" s="104" t="s">
        <v>493</v>
      </c>
      <c r="K13" s="104" t="s">
        <v>200</v>
      </c>
      <c r="L13" s="104" t="s">
        <v>201</v>
      </c>
      <c r="N13" s="434" t="s">
        <v>537</v>
      </c>
      <c r="O13" s="188" t="s">
        <v>628</v>
      </c>
      <c r="P13" s="105" t="s">
        <v>538</v>
      </c>
      <c r="Q13" s="490"/>
      <c r="R13" s="463"/>
      <c r="S13" s="463"/>
      <c r="T13" s="463"/>
      <c r="U13" s="463"/>
      <c r="V13" s="463"/>
      <c r="W13" s="463"/>
      <c r="X13" s="463"/>
      <c r="Y13" s="463"/>
      <c r="Z13" s="463"/>
      <c r="AA13" s="463"/>
      <c r="AB13" s="463"/>
      <c r="AC13" s="463"/>
      <c r="AD13" s="463"/>
      <c r="AE13" s="463"/>
      <c r="AF13" s="463"/>
      <c r="AG13" s="463"/>
      <c r="AH13" s="463"/>
      <c r="AI13" s="463"/>
      <c r="AJ13" s="463"/>
      <c r="AK13" s="463"/>
      <c r="AL13" s="463"/>
      <c r="AM13" s="463"/>
      <c r="AN13" s="463"/>
      <c r="AO13" s="463"/>
      <c r="AP13" s="463"/>
      <c r="AQ13" s="463"/>
      <c r="AR13" s="463"/>
      <c r="AS13" s="463"/>
      <c r="AT13" s="463"/>
      <c r="AU13" s="463"/>
      <c r="AV13" s="463"/>
      <c r="AW13" s="463"/>
      <c r="AX13" s="463"/>
      <c r="AY13" s="463"/>
      <c r="AZ13" s="498"/>
      <c r="BA13" s="106" t="s">
        <v>202</v>
      </c>
      <c r="BB13" s="106" t="s">
        <v>203</v>
      </c>
      <c r="BC13" s="464"/>
      <c r="BD13" s="105"/>
      <c r="BE13" s="105"/>
      <c r="BF13" s="105"/>
      <c r="BG13" s="471"/>
      <c r="BH13" s="463"/>
      <c r="BI13" s="468"/>
      <c r="BJ13" s="468"/>
      <c r="BK13" s="468"/>
      <c r="BL13" s="468"/>
      <c r="BM13" s="468"/>
      <c r="BN13" s="468"/>
      <c r="BO13" s="468"/>
      <c r="BP13" s="468"/>
      <c r="BQ13" s="495"/>
      <c r="BR13" s="108" t="s">
        <v>191</v>
      </c>
      <c r="BS13" s="109" t="s">
        <v>208</v>
      </c>
      <c r="BT13" s="109" t="s">
        <v>208</v>
      </c>
      <c r="BU13" s="109" t="s">
        <v>208</v>
      </c>
      <c r="BV13" s="465"/>
      <c r="BW13" s="496"/>
      <c r="BX13" s="465"/>
      <c r="BY13" s="464"/>
      <c r="BZ13" s="495"/>
      <c r="CA13" s="465"/>
      <c r="CB13" s="465"/>
      <c r="CC13" s="110"/>
    </row>
    <row r="14" spans="1:81" hidden="1">
      <c r="A14" s="465" t="s">
        <v>449</v>
      </c>
      <c r="B14" s="465" t="s">
        <v>594</v>
      </c>
      <c r="C14" s="487" t="s">
        <v>181</v>
      </c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8" t="s">
        <v>182</v>
      </c>
      <c r="R14" s="487" t="s">
        <v>530</v>
      </c>
      <c r="S14" s="482"/>
      <c r="T14" s="482"/>
      <c r="U14" s="482"/>
      <c r="V14" s="482"/>
      <c r="W14" s="482"/>
      <c r="X14" s="482"/>
      <c r="Y14" s="482"/>
      <c r="Z14" s="482"/>
      <c r="AA14" s="482"/>
      <c r="AB14" s="482"/>
      <c r="AC14" s="482"/>
      <c r="AD14" s="482"/>
      <c r="AE14" s="482"/>
      <c r="AF14" s="482"/>
      <c r="AG14" s="482"/>
      <c r="AH14" s="482"/>
      <c r="AI14" s="482"/>
      <c r="AJ14" s="482"/>
      <c r="AK14" s="482"/>
      <c r="AL14" s="482"/>
      <c r="AM14" s="482"/>
      <c r="AN14" s="482"/>
      <c r="AO14" s="482"/>
      <c r="AP14" s="482"/>
      <c r="AQ14" s="482"/>
      <c r="AR14" s="482"/>
      <c r="AS14" s="482"/>
      <c r="AT14" s="482"/>
      <c r="AU14" s="482"/>
      <c r="AV14" s="482"/>
      <c r="AW14" s="482"/>
      <c r="AX14" s="482"/>
      <c r="AY14" s="483"/>
      <c r="AZ14" s="484" t="s">
        <v>183</v>
      </c>
      <c r="BA14" s="485"/>
      <c r="BB14" s="486"/>
      <c r="BC14" s="484" t="s">
        <v>184</v>
      </c>
      <c r="BD14" s="485"/>
      <c r="BE14" s="485"/>
      <c r="BF14" s="486"/>
      <c r="BG14" s="487" t="s">
        <v>186</v>
      </c>
      <c r="BH14" s="482"/>
      <c r="BI14" s="482"/>
      <c r="BJ14" s="482"/>
      <c r="BK14" s="482"/>
      <c r="BL14" s="482"/>
      <c r="BM14" s="482"/>
      <c r="BN14" s="482"/>
      <c r="BO14" s="482"/>
      <c r="BP14" s="482"/>
      <c r="BQ14" s="482"/>
      <c r="BR14" s="482"/>
      <c r="BS14" s="482"/>
      <c r="BT14" s="482"/>
      <c r="BU14" s="482"/>
      <c r="BV14" s="482"/>
      <c r="BW14" s="482"/>
      <c r="BX14" s="483"/>
      <c r="BY14" s="464" t="s">
        <v>187</v>
      </c>
      <c r="BZ14" s="481" t="s">
        <v>188</v>
      </c>
      <c r="CA14" s="481"/>
      <c r="CB14" s="481"/>
      <c r="CC14" s="103"/>
    </row>
    <row r="15" spans="1:81" hidden="1">
      <c r="A15" s="465"/>
      <c r="B15" s="465"/>
      <c r="C15" s="488" t="s">
        <v>189</v>
      </c>
      <c r="D15" s="472" t="s">
        <v>533</v>
      </c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4"/>
      <c r="P15" s="466" t="s">
        <v>190</v>
      </c>
      <c r="Q15" s="489"/>
      <c r="R15" s="189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12"/>
      <c r="AZ15" s="191"/>
      <c r="BA15" s="192"/>
      <c r="BB15" s="193"/>
      <c r="BC15" s="185"/>
      <c r="BD15" s="186"/>
      <c r="BE15" s="186"/>
      <c r="BF15" s="187"/>
      <c r="BG15" s="469" t="s">
        <v>185</v>
      </c>
      <c r="BH15" s="274"/>
      <c r="BI15" s="472" t="s">
        <v>536</v>
      </c>
      <c r="BJ15" s="473"/>
      <c r="BK15" s="473"/>
      <c r="BL15" s="473"/>
      <c r="BM15" s="472" t="s">
        <v>192</v>
      </c>
      <c r="BN15" s="473"/>
      <c r="BO15" s="473"/>
      <c r="BP15" s="474"/>
      <c r="BQ15" s="493" t="s">
        <v>193</v>
      </c>
      <c r="BR15" s="465" t="s">
        <v>194</v>
      </c>
      <c r="BS15" s="465"/>
      <c r="BT15" s="465"/>
      <c r="BU15" s="465"/>
      <c r="BV15" s="465" t="s">
        <v>195</v>
      </c>
      <c r="BW15" s="496" t="s">
        <v>196</v>
      </c>
      <c r="BX15" s="465" t="s">
        <v>197</v>
      </c>
      <c r="BY15" s="464"/>
      <c r="BZ15" s="194"/>
      <c r="CA15" s="197"/>
      <c r="CB15" s="197"/>
      <c r="CC15" s="103"/>
    </row>
    <row r="16" spans="1:81" hidden="1">
      <c r="A16" s="465"/>
      <c r="B16" s="465"/>
      <c r="C16" s="489"/>
      <c r="D16" s="472" t="s">
        <v>531</v>
      </c>
      <c r="E16" s="473"/>
      <c r="F16" s="473"/>
      <c r="G16" s="473"/>
      <c r="H16" s="473"/>
      <c r="I16" s="473"/>
      <c r="J16" s="473"/>
      <c r="K16" s="473"/>
      <c r="L16" s="473"/>
      <c r="M16" s="474"/>
      <c r="N16" s="491" t="s">
        <v>532</v>
      </c>
      <c r="O16" s="492"/>
      <c r="P16" s="467"/>
      <c r="Q16" s="489"/>
      <c r="R16" s="461" t="s">
        <v>496</v>
      </c>
      <c r="S16" s="461" t="s">
        <v>497</v>
      </c>
      <c r="T16" s="461" t="s">
        <v>498</v>
      </c>
      <c r="U16" s="461" t="s">
        <v>499</v>
      </c>
      <c r="V16" s="461" t="s">
        <v>500</v>
      </c>
      <c r="W16" s="461" t="s">
        <v>501</v>
      </c>
      <c r="X16" s="461" t="s">
        <v>502</v>
      </c>
      <c r="Y16" s="461" t="s">
        <v>503</v>
      </c>
      <c r="Z16" s="461" t="s">
        <v>504</v>
      </c>
      <c r="AA16" s="461" t="s">
        <v>505</v>
      </c>
      <c r="AB16" s="461" t="s">
        <v>506</v>
      </c>
      <c r="AC16" s="461" t="s">
        <v>507</v>
      </c>
      <c r="AD16" s="461" t="s">
        <v>508</v>
      </c>
      <c r="AE16" s="461" t="s">
        <v>509</v>
      </c>
      <c r="AF16" s="461" t="s">
        <v>510</v>
      </c>
      <c r="AG16" s="461" t="s">
        <v>511</v>
      </c>
      <c r="AH16" s="461" t="s">
        <v>512</v>
      </c>
      <c r="AI16" s="461" t="s">
        <v>513</v>
      </c>
      <c r="AJ16" s="461" t="s">
        <v>514</v>
      </c>
      <c r="AK16" s="461" t="s">
        <v>515</v>
      </c>
      <c r="AL16" s="461" t="s">
        <v>516</v>
      </c>
      <c r="AM16" s="461" t="s">
        <v>517</v>
      </c>
      <c r="AN16" s="461" t="s">
        <v>518</v>
      </c>
      <c r="AO16" s="461" t="s">
        <v>519</v>
      </c>
      <c r="AP16" s="461" t="s">
        <v>520</v>
      </c>
      <c r="AQ16" s="461" t="s">
        <v>521</v>
      </c>
      <c r="AR16" s="461" t="s">
        <v>522</v>
      </c>
      <c r="AS16" s="461" t="s">
        <v>523</v>
      </c>
      <c r="AT16" s="461" t="s">
        <v>524</v>
      </c>
      <c r="AU16" s="461" t="s">
        <v>525</v>
      </c>
      <c r="AV16" s="461" t="s">
        <v>526</v>
      </c>
      <c r="AW16" s="461" t="s">
        <v>527</v>
      </c>
      <c r="AX16" s="461" t="s">
        <v>528</v>
      </c>
      <c r="AY16" s="461" t="s">
        <v>529</v>
      </c>
      <c r="AZ16" s="497" t="s">
        <v>164</v>
      </c>
      <c r="BA16" s="499" t="s">
        <v>9</v>
      </c>
      <c r="BB16" s="500"/>
      <c r="BC16" s="464" t="s">
        <v>191</v>
      </c>
      <c r="BD16" s="465" t="s">
        <v>9</v>
      </c>
      <c r="BE16" s="465"/>
      <c r="BF16" s="465"/>
      <c r="BG16" s="470"/>
      <c r="BH16" s="265"/>
      <c r="BI16" s="468" t="s">
        <v>629</v>
      </c>
      <c r="BJ16" s="468"/>
      <c r="BK16" s="468" t="s">
        <v>206</v>
      </c>
      <c r="BL16" s="468" t="s">
        <v>207</v>
      </c>
      <c r="BM16" s="468" t="s">
        <v>204</v>
      </c>
      <c r="BN16" s="468" t="s">
        <v>205</v>
      </c>
      <c r="BO16" s="468" t="s">
        <v>206</v>
      </c>
      <c r="BP16" s="468" t="s">
        <v>207</v>
      </c>
      <c r="BQ16" s="494"/>
      <c r="BR16" s="105"/>
      <c r="BS16" s="105"/>
      <c r="BT16" s="105"/>
      <c r="BU16" s="105"/>
      <c r="BV16" s="465"/>
      <c r="BW16" s="496"/>
      <c r="BX16" s="465"/>
      <c r="BY16" s="464"/>
      <c r="BZ16" s="493" t="s">
        <v>164</v>
      </c>
      <c r="CA16" s="465" t="s">
        <v>198</v>
      </c>
      <c r="CB16" s="465" t="s">
        <v>199</v>
      </c>
      <c r="CC16" s="103"/>
    </row>
    <row r="17" spans="1:81" ht="25.5" hidden="1" customHeight="1">
      <c r="A17" s="465"/>
      <c r="B17" s="465"/>
      <c r="C17" s="490"/>
      <c r="D17" s="104" t="s">
        <v>209</v>
      </c>
      <c r="E17" s="104" t="s">
        <v>210</v>
      </c>
      <c r="F17" s="104" t="s">
        <v>211</v>
      </c>
      <c r="G17" s="104" t="s">
        <v>212</v>
      </c>
      <c r="H17" s="104" t="s">
        <v>213</v>
      </c>
      <c r="I17" s="104" t="s">
        <v>495</v>
      </c>
      <c r="J17" s="104" t="s">
        <v>494</v>
      </c>
      <c r="K17" s="104" t="s">
        <v>214</v>
      </c>
      <c r="L17" s="104" t="s">
        <v>215</v>
      </c>
      <c r="M17" s="104" t="s">
        <v>219</v>
      </c>
      <c r="N17" s="424" t="s">
        <v>537</v>
      </c>
      <c r="O17" s="188" t="s">
        <v>628</v>
      </c>
      <c r="P17" s="105" t="s">
        <v>538</v>
      </c>
      <c r="Q17" s="490"/>
      <c r="R17" s="463"/>
      <c r="S17" s="463"/>
      <c r="T17" s="463"/>
      <c r="U17" s="463"/>
      <c r="V17" s="463"/>
      <c r="W17" s="463"/>
      <c r="X17" s="463"/>
      <c r="Y17" s="463"/>
      <c r="Z17" s="463"/>
      <c r="AA17" s="463"/>
      <c r="AB17" s="463"/>
      <c r="AC17" s="463"/>
      <c r="AD17" s="463"/>
      <c r="AE17" s="463"/>
      <c r="AF17" s="463"/>
      <c r="AG17" s="463"/>
      <c r="AH17" s="463"/>
      <c r="AI17" s="463"/>
      <c r="AJ17" s="463"/>
      <c r="AK17" s="463"/>
      <c r="AL17" s="463"/>
      <c r="AM17" s="463"/>
      <c r="AN17" s="463"/>
      <c r="AO17" s="463"/>
      <c r="AP17" s="463"/>
      <c r="AQ17" s="463"/>
      <c r="AR17" s="463"/>
      <c r="AS17" s="463"/>
      <c r="AT17" s="463"/>
      <c r="AU17" s="463"/>
      <c r="AV17" s="463"/>
      <c r="AW17" s="463"/>
      <c r="AX17" s="463"/>
      <c r="AY17" s="463"/>
      <c r="AZ17" s="498"/>
      <c r="BA17" s="106" t="s">
        <v>202</v>
      </c>
      <c r="BB17" s="106" t="s">
        <v>203</v>
      </c>
      <c r="BC17" s="464"/>
      <c r="BD17" s="105"/>
      <c r="BE17" s="105"/>
      <c r="BF17" s="105"/>
      <c r="BG17" s="471"/>
      <c r="BH17" s="106"/>
      <c r="BI17" s="468"/>
      <c r="BJ17" s="468"/>
      <c r="BK17" s="468"/>
      <c r="BL17" s="468"/>
      <c r="BM17" s="468"/>
      <c r="BN17" s="468"/>
      <c r="BO17" s="468"/>
      <c r="BP17" s="468"/>
      <c r="BQ17" s="495"/>
      <c r="BR17" s="108" t="s">
        <v>191</v>
      </c>
      <c r="BS17" s="109" t="s">
        <v>208</v>
      </c>
      <c r="BT17" s="109" t="s">
        <v>208</v>
      </c>
      <c r="BU17" s="109" t="s">
        <v>208</v>
      </c>
      <c r="BV17" s="465"/>
      <c r="BW17" s="496"/>
      <c r="BX17" s="465"/>
      <c r="BY17" s="464"/>
      <c r="BZ17" s="495"/>
      <c r="CA17" s="465"/>
      <c r="CB17" s="465"/>
      <c r="CC17" s="110"/>
    </row>
    <row r="18" spans="1:81" hidden="1">
      <c r="A18" s="501" t="s">
        <v>539</v>
      </c>
      <c r="B18" s="465" t="s">
        <v>594</v>
      </c>
      <c r="C18" s="487" t="s">
        <v>181</v>
      </c>
      <c r="D18" s="482"/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8" t="s">
        <v>182</v>
      </c>
      <c r="R18" s="487" t="s">
        <v>530</v>
      </c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482"/>
      <c r="AE18" s="482"/>
      <c r="AF18" s="482"/>
      <c r="AG18" s="482"/>
      <c r="AH18" s="482"/>
      <c r="AI18" s="482"/>
      <c r="AJ18" s="482"/>
      <c r="AK18" s="482"/>
      <c r="AL18" s="482"/>
      <c r="AM18" s="482"/>
      <c r="AN18" s="482"/>
      <c r="AO18" s="482"/>
      <c r="AP18" s="482"/>
      <c r="AQ18" s="482"/>
      <c r="AR18" s="482"/>
      <c r="AS18" s="482"/>
      <c r="AT18" s="482"/>
      <c r="AU18" s="482"/>
      <c r="AV18" s="482"/>
      <c r="AW18" s="482"/>
      <c r="AX18" s="482"/>
      <c r="AY18" s="483"/>
      <c r="AZ18" s="484" t="s">
        <v>183</v>
      </c>
      <c r="BA18" s="485"/>
      <c r="BB18" s="486"/>
      <c r="BC18" s="484" t="s">
        <v>184</v>
      </c>
      <c r="BD18" s="485"/>
      <c r="BE18" s="485"/>
      <c r="BF18" s="486"/>
      <c r="BG18" s="487" t="s">
        <v>186</v>
      </c>
      <c r="BH18" s="482"/>
      <c r="BI18" s="482"/>
      <c r="BJ18" s="482"/>
      <c r="BK18" s="482"/>
      <c r="BL18" s="482"/>
      <c r="BM18" s="482"/>
      <c r="BN18" s="482"/>
      <c r="BO18" s="482"/>
      <c r="BP18" s="482"/>
      <c r="BQ18" s="482"/>
      <c r="BR18" s="482"/>
      <c r="BS18" s="482"/>
      <c r="BT18" s="482"/>
      <c r="BU18" s="482"/>
      <c r="BV18" s="482"/>
      <c r="BW18" s="482"/>
      <c r="BX18" s="483"/>
      <c r="BY18" s="464" t="s">
        <v>187</v>
      </c>
      <c r="BZ18" s="481" t="s">
        <v>188</v>
      </c>
      <c r="CA18" s="481"/>
      <c r="CB18" s="481"/>
      <c r="CC18" s="103"/>
    </row>
    <row r="19" spans="1:81" hidden="1">
      <c r="A19" s="501"/>
      <c r="B19" s="465"/>
      <c r="C19" s="488" t="s">
        <v>189</v>
      </c>
      <c r="D19" s="472" t="s">
        <v>533</v>
      </c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474"/>
      <c r="P19" s="466" t="s">
        <v>190</v>
      </c>
      <c r="Q19" s="489"/>
      <c r="R19" s="461" t="s">
        <v>496</v>
      </c>
      <c r="S19" s="461" t="s">
        <v>497</v>
      </c>
      <c r="T19" s="461" t="s">
        <v>498</v>
      </c>
      <c r="U19" s="461" t="s">
        <v>499</v>
      </c>
      <c r="V19" s="461" t="s">
        <v>500</v>
      </c>
      <c r="W19" s="461" t="s">
        <v>501</v>
      </c>
      <c r="X19" s="461" t="s">
        <v>502</v>
      </c>
      <c r="Y19" s="461" t="s">
        <v>503</v>
      </c>
      <c r="Z19" s="461" t="s">
        <v>504</v>
      </c>
      <c r="AA19" s="461" t="s">
        <v>505</v>
      </c>
      <c r="AB19" s="461" t="s">
        <v>506</v>
      </c>
      <c r="AC19" s="461" t="s">
        <v>507</v>
      </c>
      <c r="AD19" s="461" t="s">
        <v>508</v>
      </c>
      <c r="AE19" s="461" t="s">
        <v>509</v>
      </c>
      <c r="AF19" s="461" t="s">
        <v>510</v>
      </c>
      <c r="AG19" s="461" t="s">
        <v>511</v>
      </c>
      <c r="AH19" s="461" t="s">
        <v>512</v>
      </c>
      <c r="AI19" s="461" t="s">
        <v>513</v>
      </c>
      <c r="AJ19" s="461" t="s">
        <v>514</v>
      </c>
      <c r="AK19" s="461" t="s">
        <v>515</v>
      </c>
      <c r="AL19" s="461" t="s">
        <v>516</v>
      </c>
      <c r="AM19" s="461" t="s">
        <v>517</v>
      </c>
      <c r="AN19" s="461" t="s">
        <v>518</v>
      </c>
      <c r="AO19" s="461" t="s">
        <v>519</v>
      </c>
      <c r="AP19" s="461" t="s">
        <v>520</v>
      </c>
      <c r="AQ19" s="461" t="s">
        <v>521</v>
      </c>
      <c r="AR19" s="461" t="s">
        <v>522</v>
      </c>
      <c r="AS19" s="461" t="s">
        <v>523</v>
      </c>
      <c r="AT19" s="461" t="s">
        <v>524</v>
      </c>
      <c r="AU19" s="461" t="s">
        <v>525</v>
      </c>
      <c r="AV19" s="461" t="s">
        <v>526</v>
      </c>
      <c r="AW19" s="461" t="s">
        <v>527</v>
      </c>
      <c r="AX19" s="461" t="s">
        <v>528</v>
      </c>
      <c r="AY19" s="461" t="s">
        <v>529</v>
      </c>
      <c r="AZ19" s="497" t="s">
        <v>164</v>
      </c>
      <c r="BA19" s="499" t="s">
        <v>9</v>
      </c>
      <c r="BB19" s="500"/>
      <c r="BC19" s="464" t="s">
        <v>191</v>
      </c>
      <c r="BD19" s="465" t="s">
        <v>9</v>
      </c>
      <c r="BE19" s="465"/>
      <c r="BF19" s="465"/>
      <c r="BG19" s="469" t="s">
        <v>185</v>
      </c>
      <c r="BH19" s="274"/>
      <c r="BI19" s="472" t="s">
        <v>536</v>
      </c>
      <c r="BJ19" s="473"/>
      <c r="BK19" s="473"/>
      <c r="BL19" s="473"/>
      <c r="BM19" s="472" t="s">
        <v>192</v>
      </c>
      <c r="BN19" s="473"/>
      <c r="BO19" s="473"/>
      <c r="BP19" s="474"/>
      <c r="BQ19" s="493" t="s">
        <v>193</v>
      </c>
      <c r="BR19" s="465" t="s">
        <v>194</v>
      </c>
      <c r="BS19" s="465"/>
      <c r="BT19" s="465"/>
      <c r="BU19" s="465"/>
      <c r="BV19" s="465" t="s">
        <v>195</v>
      </c>
      <c r="BW19" s="496" t="s">
        <v>196</v>
      </c>
      <c r="BX19" s="465" t="s">
        <v>197</v>
      </c>
      <c r="BY19" s="464"/>
      <c r="BZ19" s="465" t="s">
        <v>164</v>
      </c>
      <c r="CA19" s="465" t="s">
        <v>198</v>
      </c>
      <c r="CB19" s="465" t="s">
        <v>199</v>
      </c>
      <c r="CC19" s="103"/>
    </row>
    <row r="20" spans="1:81" hidden="1">
      <c r="A20" s="501"/>
      <c r="B20" s="465"/>
      <c r="C20" s="489"/>
      <c r="D20" s="472" t="s">
        <v>531</v>
      </c>
      <c r="E20" s="473"/>
      <c r="F20" s="473"/>
      <c r="G20" s="473"/>
      <c r="H20" s="473"/>
      <c r="I20" s="473"/>
      <c r="J20" s="473"/>
      <c r="K20" s="473"/>
      <c r="L20" s="473"/>
      <c r="M20" s="474"/>
      <c r="N20" s="491" t="s">
        <v>532</v>
      </c>
      <c r="O20" s="492"/>
      <c r="P20" s="467"/>
      <c r="Q20" s="489"/>
      <c r="R20" s="462"/>
      <c r="S20" s="462"/>
      <c r="T20" s="462"/>
      <c r="U20" s="462"/>
      <c r="V20" s="462"/>
      <c r="W20" s="462"/>
      <c r="X20" s="462"/>
      <c r="Y20" s="462"/>
      <c r="Z20" s="462"/>
      <c r="AA20" s="462"/>
      <c r="AB20" s="462"/>
      <c r="AC20" s="462"/>
      <c r="AD20" s="462"/>
      <c r="AE20" s="462"/>
      <c r="AF20" s="462"/>
      <c r="AG20" s="462"/>
      <c r="AH20" s="462"/>
      <c r="AI20" s="462"/>
      <c r="AJ20" s="462"/>
      <c r="AK20" s="462"/>
      <c r="AL20" s="462"/>
      <c r="AM20" s="462"/>
      <c r="AN20" s="462"/>
      <c r="AO20" s="462"/>
      <c r="AP20" s="462"/>
      <c r="AQ20" s="462"/>
      <c r="AR20" s="462"/>
      <c r="AS20" s="462"/>
      <c r="AT20" s="462"/>
      <c r="AU20" s="462"/>
      <c r="AV20" s="462"/>
      <c r="AW20" s="462"/>
      <c r="AX20" s="462"/>
      <c r="AY20" s="462"/>
      <c r="AZ20" s="497"/>
      <c r="BA20" s="195"/>
      <c r="BB20" s="196"/>
      <c r="BC20" s="464"/>
      <c r="BD20" s="105"/>
      <c r="BE20" s="105"/>
      <c r="BF20" s="105"/>
      <c r="BG20" s="470"/>
      <c r="BH20" s="265"/>
      <c r="BI20" s="468" t="s">
        <v>629</v>
      </c>
      <c r="BJ20" s="468"/>
      <c r="BK20" s="468" t="s">
        <v>206</v>
      </c>
      <c r="BL20" s="468" t="s">
        <v>207</v>
      </c>
      <c r="BM20" s="468" t="s">
        <v>204</v>
      </c>
      <c r="BN20" s="468" t="s">
        <v>205</v>
      </c>
      <c r="BO20" s="468" t="s">
        <v>206</v>
      </c>
      <c r="BP20" s="468" t="s">
        <v>207</v>
      </c>
      <c r="BQ20" s="494"/>
      <c r="BR20" s="105"/>
      <c r="BS20" s="105"/>
      <c r="BT20" s="105"/>
      <c r="BU20" s="105"/>
      <c r="BV20" s="465"/>
      <c r="BW20" s="496"/>
      <c r="BX20" s="465"/>
      <c r="BY20" s="464"/>
      <c r="BZ20" s="465"/>
      <c r="CA20" s="465"/>
      <c r="CB20" s="465"/>
      <c r="CC20" s="103"/>
    </row>
    <row r="21" spans="1:81" ht="24.75" hidden="1" customHeight="1">
      <c r="A21" s="501"/>
      <c r="B21" s="465"/>
      <c r="C21" s="490"/>
      <c r="D21" s="104" t="s">
        <v>557</v>
      </c>
      <c r="E21" s="104"/>
      <c r="F21" s="104"/>
      <c r="G21" s="104"/>
      <c r="H21" s="104"/>
      <c r="I21" s="104"/>
      <c r="J21" s="104"/>
      <c r="K21" s="104"/>
      <c r="L21" s="104"/>
      <c r="M21" s="104"/>
      <c r="N21" s="424" t="s">
        <v>537</v>
      </c>
      <c r="O21" s="188" t="s">
        <v>628</v>
      </c>
      <c r="P21" s="105" t="s">
        <v>538</v>
      </c>
      <c r="Q21" s="490"/>
      <c r="R21" s="463"/>
      <c r="S21" s="463"/>
      <c r="T21" s="463"/>
      <c r="U21" s="463"/>
      <c r="V21" s="463"/>
      <c r="W21" s="463"/>
      <c r="X21" s="463"/>
      <c r="Y21" s="463"/>
      <c r="Z21" s="463"/>
      <c r="AA21" s="463"/>
      <c r="AB21" s="463"/>
      <c r="AC21" s="463"/>
      <c r="AD21" s="463"/>
      <c r="AE21" s="463"/>
      <c r="AF21" s="463"/>
      <c r="AG21" s="463"/>
      <c r="AH21" s="463"/>
      <c r="AI21" s="463"/>
      <c r="AJ21" s="463"/>
      <c r="AK21" s="463"/>
      <c r="AL21" s="463"/>
      <c r="AM21" s="463"/>
      <c r="AN21" s="463"/>
      <c r="AO21" s="463"/>
      <c r="AP21" s="463"/>
      <c r="AQ21" s="463"/>
      <c r="AR21" s="463"/>
      <c r="AS21" s="463"/>
      <c r="AT21" s="463"/>
      <c r="AU21" s="463"/>
      <c r="AV21" s="463"/>
      <c r="AW21" s="463"/>
      <c r="AX21" s="463"/>
      <c r="AY21" s="463"/>
      <c r="AZ21" s="498"/>
      <c r="BA21" s="106" t="s">
        <v>202</v>
      </c>
      <c r="BB21" s="106" t="s">
        <v>203</v>
      </c>
      <c r="BC21" s="464"/>
      <c r="BD21" s="105" t="s">
        <v>450</v>
      </c>
      <c r="BE21" s="105" t="s">
        <v>451</v>
      </c>
      <c r="BF21" s="105"/>
      <c r="BG21" s="471"/>
      <c r="BH21" s="106"/>
      <c r="BI21" s="468"/>
      <c r="BJ21" s="468"/>
      <c r="BK21" s="468"/>
      <c r="BL21" s="468"/>
      <c r="BM21" s="468"/>
      <c r="BN21" s="468"/>
      <c r="BO21" s="468"/>
      <c r="BP21" s="468"/>
      <c r="BQ21" s="495"/>
      <c r="BR21" s="108" t="s">
        <v>191</v>
      </c>
      <c r="BS21" s="109" t="s">
        <v>208</v>
      </c>
      <c r="BT21" s="109" t="s">
        <v>208</v>
      </c>
      <c r="BU21" s="109" t="s">
        <v>208</v>
      </c>
      <c r="BV21" s="465"/>
      <c r="BW21" s="496"/>
      <c r="BX21" s="465"/>
      <c r="BY21" s="464"/>
      <c r="BZ21" s="465"/>
      <c r="CA21" s="465"/>
      <c r="CB21" s="465"/>
      <c r="CC21" s="110"/>
    </row>
    <row r="22" spans="1:81" ht="17.399999999999999">
      <c r="A22" s="202" t="s">
        <v>540</v>
      </c>
      <c r="B22" s="150"/>
      <c r="C22" s="203" t="s">
        <v>6</v>
      </c>
      <c r="D22" s="151" t="s">
        <v>6</v>
      </c>
      <c r="E22" s="151" t="s">
        <v>6</v>
      </c>
      <c r="F22" s="151" t="s">
        <v>6</v>
      </c>
      <c r="G22" s="151" t="s">
        <v>6</v>
      </c>
      <c r="H22" s="151" t="s">
        <v>6</v>
      </c>
      <c r="I22" s="151" t="s">
        <v>6</v>
      </c>
      <c r="J22" s="151" t="s">
        <v>6</v>
      </c>
      <c r="K22" s="151" t="s">
        <v>6</v>
      </c>
      <c r="L22" s="151" t="s">
        <v>6</v>
      </c>
      <c r="M22" s="151" t="s">
        <v>6</v>
      </c>
      <c r="N22" s="425" t="s">
        <v>6</v>
      </c>
      <c r="O22" s="151" t="s">
        <v>6</v>
      </c>
      <c r="P22" s="151" t="s">
        <v>6</v>
      </c>
      <c r="Q22" s="263" t="s">
        <v>6</v>
      </c>
      <c r="R22" s="151" t="s">
        <v>6</v>
      </c>
      <c r="S22" s="151" t="s">
        <v>6</v>
      </c>
      <c r="T22" s="151" t="s">
        <v>6</v>
      </c>
      <c r="U22" s="151" t="s">
        <v>6</v>
      </c>
      <c r="V22" s="151" t="s">
        <v>6</v>
      </c>
      <c r="W22" s="151" t="s">
        <v>6</v>
      </c>
      <c r="X22" s="151" t="s">
        <v>6</v>
      </c>
      <c r="Y22" s="151" t="s">
        <v>6</v>
      </c>
      <c r="Z22" s="151" t="s">
        <v>6</v>
      </c>
      <c r="AA22" s="151" t="s">
        <v>6</v>
      </c>
      <c r="AB22" s="151" t="s">
        <v>6</v>
      </c>
      <c r="AC22" s="151" t="s">
        <v>6</v>
      </c>
      <c r="AD22" s="151" t="s">
        <v>6</v>
      </c>
      <c r="AE22" s="151" t="s">
        <v>6</v>
      </c>
      <c r="AF22" s="151" t="s">
        <v>6</v>
      </c>
      <c r="AG22" s="151" t="s">
        <v>6</v>
      </c>
      <c r="AH22" s="151" t="s">
        <v>6</v>
      </c>
      <c r="AI22" s="151" t="s">
        <v>6</v>
      </c>
      <c r="AJ22" s="151" t="s">
        <v>6</v>
      </c>
      <c r="AK22" s="151" t="s">
        <v>6</v>
      </c>
      <c r="AL22" s="151" t="s">
        <v>6</v>
      </c>
      <c r="AM22" s="151" t="s">
        <v>6</v>
      </c>
      <c r="AN22" s="151" t="s">
        <v>6</v>
      </c>
      <c r="AO22" s="151" t="s">
        <v>6</v>
      </c>
      <c r="AP22" s="151" t="s">
        <v>6</v>
      </c>
      <c r="AQ22" s="151" t="s">
        <v>6</v>
      </c>
      <c r="AR22" s="151" t="s">
        <v>6</v>
      </c>
      <c r="AS22" s="151" t="s">
        <v>6</v>
      </c>
      <c r="AT22" s="151" t="s">
        <v>6</v>
      </c>
      <c r="AU22" s="151" t="s">
        <v>6</v>
      </c>
      <c r="AV22" s="151" t="s">
        <v>6</v>
      </c>
      <c r="AW22" s="151" t="s">
        <v>6</v>
      </c>
      <c r="AX22" s="151" t="s">
        <v>6</v>
      </c>
      <c r="AY22" s="151" t="s">
        <v>6</v>
      </c>
      <c r="AZ22" s="152" t="s">
        <v>6</v>
      </c>
      <c r="BA22" s="151" t="s">
        <v>6</v>
      </c>
      <c r="BB22" s="151" t="s">
        <v>6</v>
      </c>
      <c r="BC22" s="152" t="s">
        <v>6</v>
      </c>
      <c r="BD22" s="151" t="s">
        <v>6</v>
      </c>
      <c r="BE22" s="151" t="s">
        <v>6</v>
      </c>
      <c r="BF22" s="151" t="s">
        <v>6</v>
      </c>
      <c r="BG22" s="152" t="s">
        <v>6</v>
      </c>
      <c r="BH22" s="151" t="s">
        <v>6</v>
      </c>
      <c r="BI22" s="151" t="s">
        <v>6</v>
      </c>
      <c r="BJ22" s="151" t="s">
        <v>6</v>
      </c>
      <c r="BK22" s="151" t="s">
        <v>6</v>
      </c>
      <c r="BL22" s="151" t="s">
        <v>6</v>
      </c>
      <c r="BM22" s="151" t="s">
        <v>6</v>
      </c>
      <c r="BN22" s="151" t="s">
        <v>6</v>
      </c>
      <c r="BO22" s="151" t="s">
        <v>6</v>
      </c>
      <c r="BP22" s="151" t="s">
        <v>6</v>
      </c>
      <c r="BQ22" s="151" t="s">
        <v>6</v>
      </c>
      <c r="BR22" s="153" t="s">
        <v>6</v>
      </c>
      <c r="BS22" s="151" t="s">
        <v>6</v>
      </c>
      <c r="BT22" s="151" t="s">
        <v>6</v>
      </c>
      <c r="BU22" s="151" t="s">
        <v>6</v>
      </c>
      <c r="BV22" s="151" t="s">
        <v>6</v>
      </c>
      <c r="BW22" s="151" t="s">
        <v>6</v>
      </c>
      <c r="BX22" s="151" t="s">
        <v>6</v>
      </c>
      <c r="BY22" s="152" t="s">
        <v>6</v>
      </c>
      <c r="BZ22" s="151" t="s">
        <v>6</v>
      </c>
      <c r="CA22" s="151" t="s">
        <v>6</v>
      </c>
      <c r="CB22" s="151" t="s">
        <v>6</v>
      </c>
      <c r="CC22" s="111" t="s">
        <v>86</v>
      </c>
    </row>
    <row r="23" spans="1:81" ht="30.6">
      <c r="A23" s="502" t="s">
        <v>541</v>
      </c>
      <c r="B23" s="504" t="s">
        <v>542</v>
      </c>
      <c r="C23" s="264" t="s">
        <v>554</v>
      </c>
      <c r="D23" s="204">
        <v>39</v>
      </c>
      <c r="E23" s="204"/>
      <c r="F23" s="204"/>
      <c r="G23" s="204"/>
      <c r="H23" s="204"/>
      <c r="I23" s="204"/>
      <c r="J23" s="204"/>
      <c r="K23" s="204"/>
      <c r="L23" s="204"/>
      <c r="M23" s="204"/>
      <c r="N23" s="433" t="s">
        <v>6</v>
      </c>
      <c r="O23" s="107" t="s">
        <v>6</v>
      </c>
      <c r="P23" s="107" t="s">
        <v>6</v>
      </c>
      <c r="Q23" s="205" t="s">
        <v>6</v>
      </c>
      <c r="R23" s="200" t="s">
        <v>6</v>
      </c>
      <c r="S23" s="200" t="s">
        <v>6</v>
      </c>
      <c r="T23" s="200" t="s">
        <v>6</v>
      </c>
      <c r="U23" s="200" t="s">
        <v>6</v>
      </c>
      <c r="V23" s="200" t="s">
        <v>6</v>
      </c>
      <c r="W23" s="200" t="s">
        <v>6</v>
      </c>
      <c r="X23" s="200" t="s">
        <v>6</v>
      </c>
      <c r="Y23" s="200" t="s">
        <v>6</v>
      </c>
      <c r="Z23" s="200" t="s">
        <v>6</v>
      </c>
      <c r="AA23" s="200" t="s">
        <v>6</v>
      </c>
      <c r="AB23" s="200" t="s">
        <v>6</v>
      </c>
      <c r="AC23" s="200" t="s">
        <v>6</v>
      </c>
      <c r="AD23" s="200" t="s">
        <v>6</v>
      </c>
      <c r="AE23" s="200" t="s">
        <v>6</v>
      </c>
      <c r="AF23" s="200" t="s">
        <v>6</v>
      </c>
      <c r="AG23" s="200" t="s">
        <v>6</v>
      </c>
      <c r="AH23" s="200" t="s">
        <v>6</v>
      </c>
      <c r="AI23" s="200" t="s">
        <v>6</v>
      </c>
      <c r="AJ23" s="200" t="s">
        <v>6</v>
      </c>
      <c r="AK23" s="200" t="s">
        <v>6</v>
      </c>
      <c r="AL23" s="200" t="s">
        <v>6</v>
      </c>
      <c r="AM23" s="200" t="s">
        <v>6</v>
      </c>
      <c r="AN23" s="200" t="s">
        <v>6</v>
      </c>
      <c r="AO23" s="200" t="s">
        <v>6</v>
      </c>
      <c r="AP23" s="200" t="s">
        <v>6</v>
      </c>
      <c r="AQ23" s="200" t="s">
        <v>6</v>
      </c>
      <c r="AR23" s="200" t="s">
        <v>6</v>
      </c>
      <c r="AS23" s="200" t="s">
        <v>6</v>
      </c>
      <c r="AT23" s="200" t="s">
        <v>6</v>
      </c>
      <c r="AU23" s="200" t="s">
        <v>6</v>
      </c>
      <c r="AV23" s="200" t="s">
        <v>6</v>
      </c>
      <c r="AW23" s="200" t="s">
        <v>6</v>
      </c>
      <c r="AX23" s="200" t="s">
        <v>6</v>
      </c>
      <c r="AY23" s="200" t="s">
        <v>6</v>
      </c>
      <c r="AZ23" s="198" t="s">
        <v>6</v>
      </c>
      <c r="BA23" s="106" t="s">
        <v>6</v>
      </c>
      <c r="BB23" s="106" t="s">
        <v>6</v>
      </c>
      <c r="BC23" s="199" t="s">
        <v>6</v>
      </c>
      <c r="BD23" s="105" t="s">
        <v>6</v>
      </c>
      <c r="BE23" s="105" t="s">
        <v>6</v>
      </c>
      <c r="BF23" s="105" t="s">
        <v>6</v>
      </c>
      <c r="BG23" s="198" t="s">
        <v>6</v>
      </c>
      <c r="BH23" s="107" t="s">
        <v>6</v>
      </c>
      <c r="BI23" s="107" t="s">
        <v>6</v>
      </c>
      <c r="BJ23" s="107" t="s">
        <v>6</v>
      </c>
      <c r="BK23" s="107" t="s">
        <v>6</v>
      </c>
      <c r="BL23" s="107" t="s">
        <v>6</v>
      </c>
      <c r="BM23" s="107" t="s">
        <v>6</v>
      </c>
      <c r="BN23" s="106" t="s">
        <v>6</v>
      </c>
      <c r="BO23" s="106" t="s">
        <v>6</v>
      </c>
      <c r="BP23" s="106" t="s">
        <v>6</v>
      </c>
      <c r="BQ23" s="106" t="s">
        <v>6</v>
      </c>
      <c r="BR23" s="108" t="s">
        <v>6</v>
      </c>
      <c r="BS23" s="109" t="s">
        <v>6</v>
      </c>
      <c r="BT23" s="109" t="s">
        <v>6</v>
      </c>
      <c r="BU23" s="109" t="s">
        <v>6</v>
      </c>
      <c r="BV23" s="105" t="s">
        <v>6</v>
      </c>
      <c r="BW23" s="105" t="s">
        <v>6</v>
      </c>
      <c r="BX23" s="105" t="s">
        <v>6</v>
      </c>
      <c r="BY23" s="199" t="s">
        <v>6</v>
      </c>
      <c r="BZ23" s="105" t="s">
        <v>6</v>
      </c>
      <c r="CA23" s="105" t="s">
        <v>6</v>
      </c>
      <c r="CB23" s="105" t="s">
        <v>6</v>
      </c>
      <c r="CC23" s="110" t="s">
        <v>86</v>
      </c>
    </row>
    <row r="24" spans="1:81" ht="30.6">
      <c r="A24" s="503"/>
      <c r="B24" s="505"/>
      <c r="C24" s="264" t="s">
        <v>555</v>
      </c>
      <c r="D24" s="455">
        <v>168</v>
      </c>
      <c r="E24" s="204"/>
      <c r="F24" s="204"/>
      <c r="G24" s="204"/>
      <c r="H24" s="204"/>
      <c r="I24" s="204"/>
      <c r="J24" s="204"/>
      <c r="K24" s="204"/>
      <c r="L24" s="204"/>
      <c r="M24" s="204"/>
      <c r="N24" s="433" t="s">
        <v>6</v>
      </c>
      <c r="O24" s="107" t="s">
        <v>6</v>
      </c>
      <c r="P24" s="107" t="s">
        <v>6</v>
      </c>
      <c r="Q24" s="205" t="s">
        <v>6</v>
      </c>
      <c r="R24" s="200" t="s">
        <v>6</v>
      </c>
      <c r="S24" s="200" t="s">
        <v>6</v>
      </c>
      <c r="T24" s="200" t="s">
        <v>6</v>
      </c>
      <c r="U24" s="200" t="s">
        <v>6</v>
      </c>
      <c r="V24" s="200" t="s">
        <v>6</v>
      </c>
      <c r="W24" s="200" t="s">
        <v>6</v>
      </c>
      <c r="X24" s="200" t="s">
        <v>6</v>
      </c>
      <c r="Y24" s="200" t="s">
        <v>6</v>
      </c>
      <c r="Z24" s="200" t="s">
        <v>6</v>
      </c>
      <c r="AA24" s="200" t="s">
        <v>6</v>
      </c>
      <c r="AB24" s="200" t="s">
        <v>6</v>
      </c>
      <c r="AC24" s="200" t="s">
        <v>6</v>
      </c>
      <c r="AD24" s="200" t="s">
        <v>6</v>
      </c>
      <c r="AE24" s="200" t="s">
        <v>6</v>
      </c>
      <c r="AF24" s="200" t="s">
        <v>6</v>
      </c>
      <c r="AG24" s="200" t="s">
        <v>6</v>
      </c>
      <c r="AH24" s="200" t="s">
        <v>6</v>
      </c>
      <c r="AI24" s="200" t="s">
        <v>6</v>
      </c>
      <c r="AJ24" s="200" t="s">
        <v>6</v>
      </c>
      <c r="AK24" s="200" t="s">
        <v>6</v>
      </c>
      <c r="AL24" s="200" t="s">
        <v>6</v>
      </c>
      <c r="AM24" s="200" t="s">
        <v>6</v>
      </c>
      <c r="AN24" s="200" t="s">
        <v>6</v>
      </c>
      <c r="AO24" s="200" t="s">
        <v>6</v>
      </c>
      <c r="AP24" s="200" t="s">
        <v>6</v>
      </c>
      <c r="AQ24" s="200" t="s">
        <v>6</v>
      </c>
      <c r="AR24" s="200" t="s">
        <v>6</v>
      </c>
      <c r="AS24" s="200" t="s">
        <v>6</v>
      </c>
      <c r="AT24" s="200" t="s">
        <v>6</v>
      </c>
      <c r="AU24" s="200" t="s">
        <v>6</v>
      </c>
      <c r="AV24" s="200" t="s">
        <v>6</v>
      </c>
      <c r="AW24" s="200" t="s">
        <v>6</v>
      </c>
      <c r="AX24" s="200" t="s">
        <v>6</v>
      </c>
      <c r="AY24" s="200" t="s">
        <v>6</v>
      </c>
      <c r="AZ24" s="198" t="s">
        <v>6</v>
      </c>
      <c r="BA24" s="106" t="s">
        <v>6</v>
      </c>
      <c r="BB24" s="106" t="s">
        <v>6</v>
      </c>
      <c r="BC24" s="199" t="s">
        <v>6</v>
      </c>
      <c r="BD24" s="105" t="s">
        <v>6</v>
      </c>
      <c r="BE24" s="105" t="s">
        <v>6</v>
      </c>
      <c r="BF24" s="105" t="s">
        <v>6</v>
      </c>
      <c r="BG24" s="198" t="s">
        <v>6</v>
      </c>
      <c r="BH24" s="107" t="s">
        <v>6</v>
      </c>
      <c r="BI24" s="107" t="s">
        <v>6</v>
      </c>
      <c r="BJ24" s="107" t="s">
        <v>6</v>
      </c>
      <c r="BK24" s="107" t="s">
        <v>6</v>
      </c>
      <c r="BL24" s="107" t="s">
        <v>6</v>
      </c>
      <c r="BM24" s="107" t="s">
        <v>6</v>
      </c>
      <c r="BN24" s="106" t="s">
        <v>6</v>
      </c>
      <c r="BO24" s="106" t="s">
        <v>6</v>
      </c>
      <c r="BP24" s="106" t="s">
        <v>6</v>
      </c>
      <c r="BQ24" s="106" t="s">
        <v>6</v>
      </c>
      <c r="BR24" s="108" t="s">
        <v>6</v>
      </c>
      <c r="BS24" s="109" t="s">
        <v>6</v>
      </c>
      <c r="BT24" s="109" t="s">
        <v>6</v>
      </c>
      <c r="BU24" s="109" t="s">
        <v>6</v>
      </c>
      <c r="BV24" s="105" t="s">
        <v>6</v>
      </c>
      <c r="BW24" s="105" t="s">
        <v>6</v>
      </c>
      <c r="BX24" s="105" t="s">
        <v>6</v>
      </c>
      <c r="BY24" s="199" t="s">
        <v>6</v>
      </c>
      <c r="BZ24" s="105" t="s">
        <v>6</v>
      </c>
      <c r="CA24" s="105" t="s">
        <v>6</v>
      </c>
      <c r="CB24" s="105" t="s">
        <v>6</v>
      </c>
      <c r="CC24" s="110" t="s">
        <v>86</v>
      </c>
    </row>
    <row r="25" spans="1:81" ht="30.6">
      <c r="A25" s="502" t="s">
        <v>543</v>
      </c>
      <c r="B25" s="504" t="s">
        <v>544</v>
      </c>
      <c r="C25" s="264" t="s">
        <v>554</v>
      </c>
      <c r="D25" s="455">
        <v>14157</v>
      </c>
      <c r="E25" s="204"/>
      <c r="F25" s="204"/>
      <c r="G25" s="204"/>
      <c r="H25" s="204"/>
      <c r="I25" s="204"/>
      <c r="J25" s="204"/>
      <c r="K25" s="204"/>
      <c r="L25" s="204"/>
      <c r="M25" s="204"/>
      <c r="N25" s="433" t="s">
        <v>6</v>
      </c>
      <c r="O25" s="107" t="s">
        <v>6</v>
      </c>
      <c r="P25" s="107" t="s">
        <v>6</v>
      </c>
      <c r="Q25" s="205" t="s">
        <v>6</v>
      </c>
      <c r="R25" s="200" t="s">
        <v>6</v>
      </c>
      <c r="S25" s="200" t="s">
        <v>6</v>
      </c>
      <c r="T25" s="200" t="s">
        <v>6</v>
      </c>
      <c r="U25" s="200" t="s">
        <v>6</v>
      </c>
      <c r="V25" s="200" t="s">
        <v>6</v>
      </c>
      <c r="W25" s="200" t="s">
        <v>6</v>
      </c>
      <c r="X25" s="200" t="s">
        <v>6</v>
      </c>
      <c r="Y25" s="200" t="s">
        <v>6</v>
      </c>
      <c r="Z25" s="200" t="s">
        <v>6</v>
      </c>
      <c r="AA25" s="200" t="s">
        <v>6</v>
      </c>
      <c r="AB25" s="200" t="s">
        <v>6</v>
      </c>
      <c r="AC25" s="200" t="s">
        <v>6</v>
      </c>
      <c r="AD25" s="200" t="s">
        <v>6</v>
      </c>
      <c r="AE25" s="200" t="s">
        <v>6</v>
      </c>
      <c r="AF25" s="200" t="s">
        <v>6</v>
      </c>
      <c r="AG25" s="200" t="s">
        <v>6</v>
      </c>
      <c r="AH25" s="200" t="s">
        <v>6</v>
      </c>
      <c r="AI25" s="200" t="s">
        <v>6</v>
      </c>
      <c r="AJ25" s="200" t="s">
        <v>6</v>
      </c>
      <c r="AK25" s="200" t="s">
        <v>6</v>
      </c>
      <c r="AL25" s="200" t="s">
        <v>6</v>
      </c>
      <c r="AM25" s="200" t="s">
        <v>6</v>
      </c>
      <c r="AN25" s="200" t="s">
        <v>6</v>
      </c>
      <c r="AO25" s="200" t="s">
        <v>6</v>
      </c>
      <c r="AP25" s="200" t="s">
        <v>6</v>
      </c>
      <c r="AQ25" s="200" t="s">
        <v>6</v>
      </c>
      <c r="AR25" s="200" t="s">
        <v>6</v>
      </c>
      <c r="AS25" s="200" t="s">
        <v>6</v>
      </c>
      <c r="AT25" s="200" t="s">
        <v>6</v>
      </c>
      <c r="AU25" s="200" t="s">
        <v>6</v>
      </c>
      <c r="AV25" s="200" t="s">
        <v>6</v>
      </c>
      <c r="AW25" s="200" t="s">
        <v>6</v>
      </c>
      <c r="AX25" s="200" t="s">
        <v>6</v>
      </c>
      <c r="AY25" s="200" t="s">
        <v>6</v>
      </c>
      <c r="AZ25" s="198" t="s">
        <v>6</v>
      </c>
      <c r="BA25" s="106" t="s">
        <v>6</v>
      </c>
      <c r="BB25" s="106" t="s">
        <v>6</v>
      </c>
      <c r="BC25" s="199" t="s">
        <v>6</v>
      </c>
      <c r="BD25" s="105" t="s">
        <v>6</v>
      </c>
      <c r="BE25" s="105" t="s">
        <v>6</v>
      </c>
      <c r="BF25" s="105" t="s">
        <v>6</v>
      </c>
      <c r="BG25" s="198" t="s">
        <v>6</v>
      </c>
      <c r="BH25" s="107" t="s">
        <v>6</v>
      </c>
      <c r="BI25" s="107" t="s">
        <v>6</v>
      </c>
      <c r="BJ25" s="107" t="s">
        <v>6</v>
      </c>
      <c r="BK25" s="107" t="s">
        <v>6</v>
      </c>
      <c r="BL25" s="107" t="s">
        <v>6</v>
      </c>
      <c r="BM25" s="107" t="s">
        <v>6</v>
      </c>
      <c r="BN25" s="106" t="s">
        <v>6</v>
      </c>
      <c r="BO25" s="106" t="s">
        <v>6</v>
      </c>
      <c r="BP25" s="106" t="s">
        <v>6</v>
      </c>
      <c r="BQ25" s="106" t="s">
        <v>6</v>
      </c>
      <c r="BR25" s="108" t="s">
        <v>6</v>
      </c>
      <c r="BS25" s="109" t="s">
        <v>6</v>
      </c>
      <c r="BT25" s="109" t="s">
        <v>6</v>
      </c>
      <c r="BU25" s="109" t="s">
        <v>6</v>
      </c>
      <c r="BV25" s="105" t="s">
        <v>6</v>
      </c>
      <c r="BW25" s="105" t="s">
        <v>6</v>
      </c>
      <c r="BX25" s="105" t="s">
        <v>6</v>
      </c>
      <c r="BY25" s="199" t="s">
        <v>6</v>
      </c>
      <c r="BZ25" s="105" t="s">
        <v>6</v>
      </c>
      <c r="CA25" s="105" t="s">
        <v>6</v>
      </c>
      <c r="CB25" s="105" t="s">
        <v>6</v>
      </c>
      <c r="CC25" s="110" t="s">
        <v>86</v>
      </c>
    </row>
    <row r="26" spans="1:81" ht="30.6">
      <c r="A26" s="503"/>
      <c r="B26" s="505"/>
      <c r="C26" s="264" t="s">
        <v>555</v>
      </c>
      <c r="D26" s="455">
        <v>60984</v>
      </c>
      <c r="E26" s="204"/>
      <c r="F26" s="204"/>
      <c r="G26" s="204"/>
      <c r="H26" s="204"/>
      <c r="I26" s="204"/>
      <c r="J26" s="204"/>
      <c r="K26" s="204"/>
      <c r="L26" s="204"/>
      <c r="M26" s="204"/>
      <c r="N26" s="433" t="s">
        <v>6</v>
      </c>
      <c r="O26" s="107" t="s">
        <v>6</v>
      </c>
      <c r="P26" s="107" t="s">
        <v>6</v>
      </c>
      <c r="Q26" s="205" t="s">
        <v>6</v>
      </c>
      <c r="R26" s="200" t="s">
        <v>6</v>
      </c>
      <c r="S26" s="200" t="s">
        <v>6</v>
      </c>
      <c r="T26" s="200" t="s">
        <v>6</v>
      </c>
      <c r="U26" s="200" t="s">
        <v>6</v>
      </c>
      <c r="V26" s="200" t="s">
        <v>6</v>
      </c>
      <c r="W26" s="200" t="s">
        <v>6</v>
      </c>
      <c r="X26" s="200" t="s">
        <v>6</v>
      </c>
      <c r="Y26" s="200" t="s">
        <v>6</v>
      </c>
      <c r="Z26" s="200" t="s">
        <v>6</v>
      </c>
      <c r="AA26" s="200" t="s">
        <v>6</v>
      </c>
      <c r="AB26" s="200" t="s">
        <v>6</v>
      </c>
      <c r="AC26" s="200" t="s">
        <v>6</v>
      </c>
      <c r="AD26" s="200" t="s">
        <v>6</v>
      </c>
      <c r="AE26" s="200" t="s">
        <v>6</v>
      </c>
      <c r="AF26" s="200" t="s">
        <v>6</v>
      </c>
      <c r="AG26" s="200" t="s">
        <v>6</v>
      </c>
      <c r="AH26" s="200" t="s">
        <v>6</v>
      </c>
      <c r="AI26" s="200" t="s">
        <v>6</v>
      </c>
      <c r="AJ26" s="200" t="s">
        <v>6</v>
      </c>
      <c r="AK26" s="200" t="s">
        <v>6</v>
      </c>
      <c r="AL26" s="200" t="s">
        <v>6</v>
      </c>
      <c r="AM26" s="200" t="s">
        <v>6</v>
      </c>
      <c r="AN26" s="200" t="s">
        <v>6</v>
      </c>
      <c r="AO26" s="200" t="s">
        <v>6</v>
      </c>
      <c r="AP26" s="200" t="s">
        <v>6</v>
      </c>
      <c r="AQ26" s="200" t="s">
        <v>6</v>
      </c>
      <c r="AR26" s="200" t="s">
        <v>6</v>
      </c>
      <c r="AS26" s="200" t="s">
        <v>6</v>
      </c>
      <c r="AT26" s="200" t="s">
        <v>6</v>
      </c>
      <c r="AU26" s="200" t="s">
        <v>6</v>
      </c>
      <c r="AV26" s="200" t="s">
        <v>6</v>
      </c>
      <c r="AW26" s="200" t="s">
        <v>6</v>
      </c>
      <c r="AX26" s="200" t="s">
        <v>6</v>
      </c>
      <c r="AY26" s="200" t="s">
        <v>6</v>
      </c>
      <c r="AZ26" s="198" t="s">
        <v>6</v>
      </c>
      <c r="BA26" s="106" t="s">
        <v>6</v>
      </c>
      <c r="BB26" s="106" t="s">
        <v>6</v>
      </c>
      <c r="BC26" s="199" t="s">
        <v>6</v>
      </c>
      <c r="BD26" s="105" t="s">
        <v>6</v>
      </c>
      <c r="BE26" s="105" t="s">
        <v>6</v>
      </c>
      <c r="BF26" s="105" t="s">
        <v>6</v>
      </c>
      <c r="BG26" s="198" t="s">
        <v>6</v>
      </c>
      <c r="BH26" s="107" t="s">
        <v>6</v>
      </c>
      <c r="BI26" s="107" t="s">
        <v>6</v>
      </c>
      <c r="BJ26" s="107" t="s">
        <v>6</v>
      </c>
      <c r="BK26" s="107" t="s">
        <v>6</v>
      </c>
      <c r="BL26" s="107" t="s">
        <v>6</v>
      </c>
      <c r="BM26" s="107" t="s">
        <v>6</v>
      </c>
      <c r="BN26" s="106" t="s">
        <v>6</v>
      </c>
      <c r="BO26" s="106" t="s">
        <v>6</v>
      </c>
      <c r="BP26" s="106" t="s">
        <v>6</v>
      </c>
      <c r="BQ26" s="106" t="s">
        <v>6</v>
      </c>
      <c r="BR26" s="108" t="s">
        <v>6</v>
      </c>
      <c r="BS26" s="109" t="s">
        <v>6</v>
      </c>
      <c r="BT26" s="109" t="s">
        <v>6</v>
      </c>
      <c r="BU26" s="109" t="s">
        <v>6</v>
      </c>
      <c r="BV26" s="105" t="s">
        <v>6</v>
      </c>
      <c r="BW26" s="105" t="s">
        <v>6</v>
      </c>
      <c r="BX26" s="105" t="s">
        <v>6</v>
      </c>
      <c r="BY26" s="199" t="s">
        <v>6</v>
      </c>
      <c r="BZ26" s="105" t="s">
        <v>6</v>
      </c>
      <c r="CA26" s="105" t="s">
        <v>6</v>
      </c>
      <c r="CB26" s="105" t="s">
        <v>6</v>
      </c>
      <c r="CC26" s="110" t="s">
        <v>86</v>
      </c>
    </row>
    <row r="27" spans="1:81" s="262" customFormat="1">
      <c r="A27" s="259" t="s">
        <v>540</v>
      </c>
      <c r="B27" s="105"/>
      <c r="C27" s="201" t="s">
        <v>6</v>
      </c>
      <c r="D27" s="456"/>
      <c r="E27" s="260"/>
      <c r="F27" s="260"/>
      <c r="G27" s="260"/>
      <c r="H27" s="260"/>
      <c r="I27" s="260"/>
      <c r="J27" s="260"/>
      <c r="K27" s="260"/>
      <c r="L27" s="260"/>
      <c r="M27" s="260"/>
      <c r="N27" s="433" t="s">
        <v>6</v>
      </c>
      <c r="O27" s="107" t="s">
        <v>6</v>
      </c>
      <c r="P27" s="107" t="s">
        <v>6</v>
      </c>
      <c r="Q27" s="205" t="s">
        <v>6</v>
      </c>
      <c r="R27" s="261" t="s">
        <v>6</v>
      </c>
      <c r="S27" s="261" t="s">
        <v>6</v>
      </c>
      <c r="T27" s="261" t="s">
        <v>6</v>
      </c>
      <c r="U27" s="261" t="s">
        <v>6</v>
      </c>
      <c r="V27" s="261" t="s">
        <v>6</v>
      </c>
      <c r="W27" s="261" t="s">
        <v>6</v>
      </c>
      <c r="X27" s="261" t="s">
        <v>6</v>
      </c>
      <c r="Y27" s="261" t="s">
        <v>6</v>
      </c>
      <c r="Z27" s="261" t="s">
        <v>6</v>
      </c>
      <c r="AA27" s="261" t="s">
        <v>6</v>
      </c>
      <c r="AB27" s="261" t="s">
        <v>6</v>
      </c>
      <c r="AC27" s="261" t="s">
        <v>6</v>
      </c>
      <c r="AD27" s="261" t="s">
        <v>6</v>
      </c>
      <c r="AE27" s="261" t="s">
        <v>6</v>
      </c>
      <c r="AF27" s="261" t="s">
        <v>6</v>
      </c>
      <c r="AG27" s="261" t="s">
        <v>6</v>
      </c>
      <c r="AH27" s="261" t="s">
        <v>6</v>
      </c>
      <c r="AI27" s="261" t="s">
        <v>6</v>
      </c>
      <c r="AJ27" s="261" t="s">
        <v>6</v>
      </c>
      <c r="AK27" s="261" t="s">
        <v>6</v>
      </c>
      <c r="AL27" s="261" t="s">
        <v>6</v>
      </c>
      <c r="AM27" s="261" t="s">
        <v>6</v>
      </c>
      <c r="AN27" s="261" t="s">
        <v>6</v>
      </c>
      <c r="AO27" s="261" t="s">
        <v>6</v>
      </c>
      <c r="AP27" s="261" t="s">
        <v>6</v>
      </c>
      <c r="AQ27" s="261" t="s">
        <v>6</v>
      </c>
      <c r="AR27" s="261" t="s">
        <v>6</v>
      </c>
      <c r="AS27" s="261" t="s">
        <v>6</v>
      </c>
      <c r="AT27" s="261" t="s">
        <v>6</v>
      </c>
      <c r="AU27" s="261" t="s">
        <v>6</v>
      </c>
      <c r="AV27" s="261" t="s">
        <v>6</v>
      </c>
      <c r="AW27" s="261" t="s">
        <v>6</v>
      </c>
      <c r="AX27" s="261" t="s">
        <v>6</v>
      </c>
      <c r="AY27" s="261" t="s">
        <v>6</v>
      </c>
      <c r="AZ27" s="198" t="s">
        <v>6</v>
      </c>
      <c r="BA27" s="106" t="s">
        <v>6</v>
      </c>
      <c r="BB27" s="106" t="s">
        <v>6</v>
      </c>
      <c r="BC27" s="199" t="s">
        <v>6</v>
      </c>
      <c r="BD27" s="105" t="s">
        <v>6</v>
      </c>
      <c r="BE27" s="105" t="s">
        <v>6</v>
      </c>
      <c r="BF27" s="105" t="s">
        <v>6</v>
      </c>
      <c r="BG27" s="198" t="s">
        <v>6</v>
      </c>
      <c r="BH27" s="107" t="s">
        <v>6</v>
      </c>
      <c r="BI27" s="107" t="s">
        <v>6</v>
      </c>
      <c r="BJ27" s="107" t="s">
        <v>6</v>
      </c>
      <c r="BK27" s="107" t="s">
        <v>6</v>
      </c>
      <c r="BL27" s="107" t="s">
        <v>6</v>
      </c>
      <c r="BM27" s="107" t="s">
        <v>6</v>
      </c>
      <c r="BN27" s="106" t="s">
        <v>6</v>
      </c>
      <c r="BO27" s="106" t="s">
        <v>6</v>
      </c>
      <c r="BP27" s="106" t="s">
        <v>6</v>
      </c>
      <c r="BQ27" s="106" t="s">
        <v>6</v>
      </c>
      <c r="BR27" s="108" t="s">
        <v>6</v>
      </c>
      <c r="BS27" s="105" t="s">
        <v>6</v>
      </c>
      <c r="BT27" s="105" t="s">
        <v>6</v>
      </c>
      <c r="BU27" s="105" t="s">
        <v>6</v>
      </c>
      <c r="BV27" s="105" t="s">
        <v>6</v>
      </c>
      <c r="BW27" s="105" t="s">
        <v>6</v>
      </c>
      <c r="BX27" s="105" t="s">
        <v>6</v>
      </c>
      <c r="BY27" s="199" t="s">
        <v>6</v>
      </c>
      <c r="BZ27" s="105" t="s">
        <v>6</v>
      </c>
      <c r="CA27" s="105" t="s">
        <v>6</v>
      </c>
      <c r="CB27" s="105" t="s">
        <v>6</v>
      </c>
      <c r="CC27" s="110" t="s">
        <v>86</v>
      </c>
    </row>
    <row r="28" spans="1:81" s="262" customFormat="1">
      <c r="A28" s="259" t="s">
        <v>545</v>
      </c>
      <c r="B28" s="105" t="s">
        <v>15</v>
      </c>
      <c r="C28" s="201" t="s">
        <v>6</v>
      </c>
      <c r="D28" s="224">
        <f>IFERROR((D$73+($N$73+$O$73)/SUM($D$75:$M$75)*D$75)/D23,0)</f>
        <v>1569320.1684615384</v>
      </c>
      <c r="E28" s="206">
        <f t="shared" ref="E28:M28" si="0">IFERROR((E$73+($N$73+$O$73)/SUM($D$75:$M$75)*E$75)/E23,0)</f>
        <v>0</v>
      </c>
      <c r="F28" s="206">
        <f t="shared" si="0"/>
        <v>0</v>
      </c>
      <c r="G28" s="206">
        <f t="shared" si="0"/>
        <v>0</v>
      </c>
      <c r="H28" s="206">
        <f t="shared" si="0"/>
        <v>0</v>
      </c>
      <c r="I28" s="206">
        <f t="shared" si="0"/>
        <v>0</v>
      </c>
      <c r="J28" s="206">
        <f t="shared" si="0"/>
        <v>0</v>
      </c>
      <c r="K28" s="206">
        <f t="shared" si="0"/>
        <v>0</v>
      </c>
      <c r="L28" s="206">
        <f t="shared" si="0"/>
        <v>0</v>
      </c>
      <c r="M28" s="206">
        <f t="shared" si="0"/>
        <v>0</v>
      </c>
      <c r="N28" s="433" t="s">
        <v>6</v>
      </c>
      <c r="O28" s="107" t="s">
        <v>6</v>
      </c>
      <c r="P28" s="107" t="s">
        <v>6</v>
      </c>
      <c r="Q28" s="205" t="s">
        <v>6</v>
      </c>
      <c r="R28" s="261" t="s">
        <v>6</v>
      </c>
      <c r="S28" s="261" t="s">
        <v>6</v>
      </c>
      <c r="T28" s="261" t="s">
        <v>6</v>
      </c>
      <c r="U28" s="261" t="s">
        <v>6</v>
      </c>
      <c r="V28" s="261" t="s">
        <v>6</v>
      </c>
      <c r="W28" s="261" t="s">
        <v>6</v>
      </c>
      <c r="X28" s="261" t="s">
        <v>6</v>
      </c>
      <c r="Y28" s="261" t="s">
        <v>6</v>
      </c>
      <c r="Z28" s="261" t="s">
        <v>6</v>
      </c>
      <c r="AA28" s="261" t="s">
        <v>6</v>
      </c>
      <c r="AB28" s="261" t="s">
        <v>6</v>
      </c>
      <c r="AC28" s="261" t="s">
        <v>6</v>
      </c>
      <c r="AD28" s="261" t="s">
        <v>6</v>
      </c>
      <c r="AE28" s="261" t="s">
        <v>6</v>
      </c>
      <c r="AF28" s="261" t="s">
        <v>6</v>
      </c>
      <c r="AG28" s="261" t="s">
        <v>6</v>
      </c>
      <c r="AH28" s="261" t="s">
        <v>6</v>
      </c>
      <c r="AI28" s="261" t="s">
        <v>6</v>
      </c>
      <c r="AJ28" s="261" t="s">
        <v>6</v>
      </c>
      <c r="AK28" s="261" t="s">
        <v>6</v>
      </c>
      <c r="AL28" s="261" t="s">
        <v>6</v>
      </c>
      <c r="AM28" s="261" t="s">
        <v>6</v>
      </c>
      <c r="AN28" s="261" t="s">
        <v>6</v>
      </c>
      <c r="AO28" s="261" t="s">
        <v>6</v>
      </c>
      <c r="AP28" s="261" t="s">
        <v>6</v>
      </c>
      <c r="AQ28" s="261" t="s">
        <v>6</v>
      </c>
      <c r="AR28" s="261" t="s">
        <v>6</v>
      </c>
      <c r="AS28" s="261" t="s">
        <v>6</v>
      </c>
      <c r="AT28" s="261" t="s">
        <v>6</v>
      </c>
      <c r="AU28" s="261" t="s">
        <v>6</v>
      </c>
      <c r="AV28" s="261" t="s">
        <v>6</v>
      </c>
      <c r="AW28" s="261" t="s">
        <v>6</v>
      </c>
      <c r="AX28" s="261" t="s">
        <v>6</v>
      </c>
      <c r="AY28" s="261" t="s">
        <v>6</v>
      </c>
      <c r="AZ28" s="198" t="s">
        <v>6</v>
      </c>
      <c r="BA28" s="106" t="s">
        <v>6</v>
      </c>
      <c r="BB28" s="106" t="s">
        <v>6</v>
      </c>
      <c r="BC28" s="199" t="s">
        <v>6</v>
      </c>
      <c r="BD28" s="105" t="s">
        <v>6</v>
      </c>
      <c r="BE28" s="105" t="s">
        <v>6</v>
      </c>
      <c r="BF28" s="105" t="s">
        <v>6</v>
      </c>
      <c r="BG28" s="198" t="s">
        <v>6</v>
      </c>
      <c r="BH28" s="107" t="s">
        <v>6</v>
      </c>
      <c r="BI28" s="107" t="s">
        <v>6</v>
      </c>
      <c r="BJ28" s="107" t="s">
        <v>6</v>
      </c>
      <c r="BK28" s="107" t="s">
        <v>6</v>
      </c>
      <c r="BL28" s="107" t="s">
        <v>6</v>
      </c>
      <c r="BM28" s="107" t="s">
        <v>6</v>
      </c>
      <c r="BN28" s="106" t="s">
        <v>6</v>
      </c>
      <c r="BO28" s="106" t="s">
        <v>6</v>
      </c>
      <c r="BP28" s="106" t="s">
        <v>6</v>
      </c>
      <c r="BQ28" s="106" t="s">
        <v>6</v>
      </c>
      <c r="BR28" s="108" t="s">
        <v>6</v>
      </c>
      <c r="BS28" s="105" t="s">
        <v>6</v>
      </c>
      <c r="BT28" s="105" t="s">
        <v>6</v>
      </c>
      <c r="BU28" s="105" t="s">
        <v>6</v>
      </c>
      <c r="BV28" s="105" t="s">
        <v>6</v>
      </c>
      <c r="BW28" s="105" t="s">
        <v>6</v>
      </c>
      <c r="BX28" s="105" t="s">
        <v>6</v>
      </c>
      <c r="BY28" s="199" t="s">
        <v>6</v>
      </c>
      <c r="BZ28" s="105" t="s">
        <v>6</v>
      </c>
      <c r="CA28" s="105" t="s">
        <v>6</v>
      </c>
      <c r="CB28" s="105" t="s">
        <v>6</v>
      </c>
      <c r="CC28" s="110" t="s">
        <v>86</v>
      </c>
    </row>
    <row r="29" spans="1:81" s="262" customFormat="1">
      <c r="A29" s="259" t="s">
        <v>546</v>
      </c>
      <c r="B29" s="105" t="s">
        <v>15</v>
      </c>
      <c r="C29" s="201" t="s">
        <v>6</v>
      </c>
      <c r="D29" s="224">
        <f t="shared" ref="D29:L29" si="1">IFERROR((D$73+($N$73+$O$73)/SUM($D$75:$M$75)*D$75)/D25,0)</f>
        <v>4323.1960563678749</v>
      </c>
      <c r="E29" s="206">
        <f t="shared" si="1"/>
        <v>0</v>
      </c>
      <c r="F29" s="206">
        <f t="shared" si="1"/>
        <v>0</v>
      </c>
      <c r="G29" s="206">
        <f t="shared" si="1"/>
        <v>0</v>
      </c>
      <c r="H29" s="206">
        <f t="shared" si="1"/>
        <v>0</v>
      </c>
      <c r="I29" s="206">
        <f t="shared" si="1"/>
        <v>0</v>
      </c>
      <c r="J29" s="206">
        <f t="shared" si="1"/>
        <v>0</v>
      </c>
      <c r="K29" s="206">
        <f t="shared" si="1"/>
        <v>0</v>
      </c>
      <c r="L29" s="206">
        <f t="shared" si="1"/>
        <v>0</v>
      </c>
      <c r="M29" s="206">
        <f>IFERROR((M$73+($N$73+$O$73)/SUM($D$75:$M$75)*M$75)/M25,0)</f>
        <v>0</v>
      </c>
      <c r="N29" s="433" t="s">
        <v>6</v>
      </c>
      <c r="O29" s="107" t="s">
        <v>6</v>
      </c>
      <c r="P29" s="107" t="s">
        <v>6</v>
      </c>
      <c r="Q29" s="205" t="s">
        <v>6</v>
      </c>
      <c r="R29" s="261" t="s">
        <v>6</v>
      </c>
      <c r="S29" s="261" t="s">
        <v>6</v>
      </c>
      <c r="T29" s="261" t="s">
        <v>6</v>
      </c>
      <c r="U29" s="261" t="s">
        <v>6</v>
      </c>
      <c r="V29" s="261" t="s">
        <v>6</v>
      </c>
      <c r="W29" s="261" t="s">
        <v>6</v>
      </c>
      <c r="X29" s="261" t="s">
        <v>6</v>
      </c>
      <c r="Y29" s="261" t="s">
        <v>6</v>
      </c>
      <c r="Z29" s="261" t="s">
        <v>6</v>
      </c>
      <c r="AA29" s="261" t="s">
        <v>6</v>
      </c>
      <c r="AB29" s="261" t="s">
        <v>6</v>
      </c>
      <c r="AC29" s="261" t="s">
        <v>6</v>
      </c>
      <c r="AD29" s="261" t="s">
        <v>6</v>
      </c>
      <c r="AE29" s="261" t="s">
        <v>6</v>
      </c>
      <c r="AF29" s="261" t="s">
        <v>6</v>
      </c>
      <c r="AG29" s="261" t="s">
        <v>6</v>
      </c>
      <c r="AH29" s="261" t="s">
        <v>6</v>
      </c>
      <c r="AI29" s="261" t="s">
        <v>6</v>
      </c>
      <c r="AJ29" s="261" t="s">
        <v>6</v>
      </c>
      <c r="AK29" s="261" t="s">
        <v>6</v>
      </c>
      <c r="AL29" s="261" t="s">
        <v>6</v>
      </c>
      <c r="AM29" s="261" t="s">
        <v>6</v>
      </c>
      <c r="AN29" s="261" t="s">
        <v>6</v>
      </c>
      <c r="AO29" s="261" t="s">
        <v>6</v>
      </c>
      <c r="AP29" s="261" t="s">
        <v>6</v>
      </c>
      <c r="AQ29" s="261" t="s">
        <v>6</v>
      </c>
      <c r="AR29" s="261" t="s">
        <v>6</v>
      </c>
      <c r="AS29" s="261" t="s">
        <v>6</v>
      </c>
      <c r="AT29" s="261" t="s">
        <v>6</v>
      </c>
      <c r="AU29" s="261" t="s">
        <v>6</v>
      </c>
      <c r="AV29" s="261" t="s">
        <v>6</v>
      </c>
      <c r="AW29" s="261" t="s">
        <v>6</v>
      </c>
      <c r="AX29" s="261" t="s">
        <v>6</v>
      </c>
      <c r="AY29" s="261" t="s">
        <v>6</v>
      </c>
      <c r="AZ29" s="198" t="s">
        <v>6</v>
      </c>
      <c r="BA29" s="106" t="s">
        <v>6</v>
      </c>
      <c r="BB29" s="106" t="s">
        <v>6</v>
      </c>
      <c r="BC29" s="199" t="s">
        <v>6</v>
      </c>
      <c r="BD29" s="105" t="s">
        <v>6</v>
      </c>
      <c r="BE29" s="105" t="s">
        <v>6</v>
      </c>
      <c r="BF29" s="105" t="s">
        <v>6</v>
      </c>
      <c r="BG29" s="198" t="s">
        <v>6</v>
      </c>
      <c r="BH29" s="107" t="s">
        <v>6</v>
      </c>
      <c r="BI29" s="107" t="s">
        <v>6</v>
      </c>
      <c r="BJ29" s="107" t="s">
        <v>6</v>
      </c>
      <c r="BK29" s="107" t="s">
        <v>6</v>
      </c>
      <c r="BL29" s="107" t="s">
        <v>6</v>
      </c>
      <c r="BM29" s="107" t="s">
        <v>6</v>
      </c>
      <c r="BN29" s="106" t="s">
        <v>6</v>
      </c>
      <c r="BO29" s="106" t="s">
        <v>6</v>
      </c>
      <c r="BP29" s="106" t="s">
        <v>6</v>
      </c>
      <c r="BQ29" s="106" t="s">
        <v>6</v>
      </c>
      <c r="BR29" s="108" t="s">
        <v>6</v>
      </c>
      <c r="BS29" s="105" t="s">
        <v>6</v>
      </c>
      <c r="BT29" s="105" t="s">
        <v>6</v>
      </c>
      <c r="BU29" s="105" t="s">
        <v>6</v>
      </c>
      <c r="BV29" s="105" t="s">
        <v>6</v>
      </c>
      <c r="BW29" s="105" t="s">
        <v>6</v>
      </c>
      <c r="BX29" s="105" t="s">
        <v>6</v>
      </c>
      <c r="BY29" s="199" t="s">
        <v>6</v>
      </c>
      <c r="BZ29" s="105" t="s">
        <v>6</v>
      </c>
      <c r="CA29" s="105" t="s">
        <v>6</v>
      </c>
      <c r="CB29" s="105" t="s">
        <v>6</v>
      </c>
      <c r="CC29" s="110" t="s">
        <v>86</v>
      </c>
    </row>
    <row r="30" spans="1:81" s="262" customFormat="1" ht="50.25" customHeight="1">
      <c r="A30" s="259" t="s">
        <v>547</v>
      </c>
      <c r="B30" s="105"/>
      <c r="C30" s="201" t="s">
        <v>6</v>
      </c>
      <c r="D30" s="456"/>
      <c r="E30" s="260"/>
      <c r="F30" s="260"/>
      <c r="G30" s="260"/>
      <c r="H30" s="260"/>
      <c r="I30" s="206"/>
      <c r="J30" s="206"/>
      <c r="K30" s="206"/>
      <c r="L30" s="206"/>
      <c r="M30" s="206"/>
      <c r="N30" s="433" t="s">
        <v>6</v>
      </c>
      <c r="O30" s="107" t="s">
        <v>6</v>
      </c>
      <c r="P30" s="107" t="s">
        <v>6</v>
      </c>
      <c r="Q30" s="205" t="s">
        <v>6</v>
      </c>
      <c r="R30" s="261" t="s">
        <v>6</v>
      </c>
      <c r="S30" s="261" t="s">
        <v>6</v>
      </c>
      <c r="T30" s="261" t="s">
        <v>6</v>
      </c>
      <c r="U30" s="261" t="s">
        <v>6</v>
      </c>
      <c r="V30" s="261" t="s">
        <v>6</v>
      </c>
      <c r="W30" s="261" t="s">
        <v>6</v>
      </c>
      <c r="X30" s="261" t="s">
        <v>6</v>
      </c>
      <c r="Y30" s="261" t="s">
        <v>6</v>
      </c>
      <c r="Z30" s="261" t="s">
        <v>6</v>
      </c>
      <c r="AA30" s="261" t="s">
        <v>6</v>
      </c>
      <c r="AB30" s="261" t="s">
        <v>6</v>
      </c>
      <c r="AC30" s="261" t="s">
        <v>6</v>
      </c>
      <c r="AD30" s="261" t="s">
        <v>6</v>
      </c>
      <c r="AE30" s="261" t="s">
        <v>6</v>
      </c>
      <c r="AF30" s="261" t="s">
        <v>6</v>
      </c>
      <c r="AG30" s="261" t="s">
        <v>6</v>
      </c>
      <c r="AH30" s="261" t="s">
        <v>6</v>
      </c>
      <c r="AI30" s="261" t="s">
        <v>6</v>
      </c>
      <c r="AJ30" s="261" t="s">
        <v>6</v>
      </c>
      <c r="AK30" s="261" t="s">
        <v>6</v>
      </c>
      <c r="AL30" s="261" t="s">
        <v>6</v>
      </c>
      <c r="AM30" s="261" t="s">
        <v>6</v>
      </c>
      <c r="AN30" s="261" t="s">
        <v>6</v>
      </c>
      <c r="AO30" s="261" t="s">
        <v>6</v>
      </c>
      <c r="AP30" s="261" t="s">
        <v>6</v>
      </c>
      <c r="AQ30" s="261" t="s">
        <v>6</v>
      </c>
      <c r="AR30" s="261" t="s">
        <v>6</v>
      </c>
      <c r="AS30" s="261" t="s">
        <v>6</v>
      </c>
      <c r="AT30" s="261" t="s">
        <v>6</v>
      </c>
      <c r="AU30" s="261" t="s">
        <v>6</v>
      </c>
      <c r="AV30" s="261" t="s">
        <v>6</v>
      </c>
      <c r="AW30" s="261" t="s">
        <v>6</v>
      </c>
      <c r="AX30" s="261" t="s">
        <v>6</v>
      </c>
      <c r="AY30" s="261" t="s">
        <v>6</v>
      </c>
      <c r="AZ30" s="198" t="s">
        <v>6</v>
      </c>
      <c r="BA30" s="106" t="s">
        <v>6</v>
      </c>
      <c r="BB30" s="106" t="s">
        <v>6</v>
      </c>
      <c r="BC30" s="199" t="s">
        <v>6</v>
      </c>
      <c r="BD30" s="105" t="s">
        <v>6</v>
      </c>
      <c r="BE30" s="105" t="s">
        <v>6</v>
      </c>
      <c r="BF30" s="105" t="s">
        <v>6</v>
      </c>
      <c r="BG30" s="198" t="s">
        <v>6</v>
      </c>
      <c r="BH30" s="107" t="s">
        <v>6</v>
      </c>
      <c r="BI30" s="107" t="s">
        <v>6</v>
      </c>
      <c r="BJ30" s="107" t="s">
        <v>6</v>
      </c>
      <c r="BK30" s="107" t="s">
        <v>6</v>
      </c>
      <c r="BL30" s="107" t="s">
        <v>6</v>
      </c>
      <c r="BM30" s="107" t="s">
        <v>6</v>
      </c>
      <c r="BN30" s="106" t="s">
        <v>6</v>
      </c>
      <c r="BO30" s="106" t="s">
        <v>6</v>
      </c>
      <c r="BP30" s="106" t="s">
        <v>6</v>
      </c>
      <c r="BQ30" s="106" t="s">
        <v>6</v>
      </c>
      <c r="BR30" s="108" t="s">
        <v>6</v>
      </c>
      <c r="BS30" s="105" t="s">
        <v>6</v>
      </c>
      <c r="BT30" s="105" t="s">
        <v>6</v>
      </c>
      <c r="BU30" s="105" t="s">
        <v>6</v>
      </c>
      <c r="BV30" s="105" t="s">
        <v>6</v>
      </c>
      <c r="BW30" s="105" t="s">
        <v>6</v>
      </c>
      <c r="BX30" s="105" t="s">
        <v>6</v>
      </c>
      <c r="BY30" s="199" t="s">
        <v>6</v>
      </c>
      <c r="BZ30" s="105" t="s">
        <v>6</v>
      </c>
      <c r="CA30" s="105" t="s">
        <v>6</v>
      </c>
      <c r="CB30" s="105" t="s">
        <v>6</v>
      </c>
      <c r="CC30" s="110" t="s">
        <v>86</v>
      </c>
    </row>
    <row r="31" spans="1:81" ht="11.25" customHeight="1">
      <c r="A31" s="502" t="s">
        <v>545</v>
      </c>
      <c r="B31" s="504" t="s">
        <v>15</v>
      </c>
      <c r="C31" s="264" t="s">
        <v>554</v>
      </c>
      <c r="D31" s="457">
        <f>IFERROR((D$73+BI$73+($N$73+$O$73)/SUM($D$75:$M$75)*D$75)/D23,0)</f>
        <v>2602156.0658974359</v>
      </c>
      <c r="E31" s="206"/>
      <c r="F31" s="206"/>
      <c r="G31" s="206"/>
      <c r="H31" s="206"/>
      <c r="I31" s="206"/>
      <c r="J31" s="206"/>
      <c r="K31" s="206"/>
      <c r="L31" s="206"/>
      <c r="M31" s="206"/>
      <c r="N31" s="433" t="s">
        <v>6</v>
      </c>
      <c r="O31" s="107" t="s">
        <v>6</v>
      </c>
      <c r="P31" s="107" t="s">
        <v>6</v>
      </c>
      <c r="Q31" s="205" t="s">
        <v>6</v>
      </c>
      <c r="R31" s="200" t="s">
        <v>6</v>
      </c>
      <c r="S31" s="200" t="s">
        <v>6</v>
      </c>
      <c r="T31" s="200" t="s">
        <v>6</v>
      </c>
      <c r="U31" s="200" t="s">
        <v>6</v>
      </c>
      <c r="V31" s="200" t="s">
        <v>6</v>
      </c>
      <c r="W31" s="200" t="s">
        <v>6</v>
      </c>
      <c r="X31" s="200" t="s">
        <v>6</v>
      </c>
      <c r="Y31" s="200" t="s">
        <v>6</v>
      </c>
      <c r="Z31" s="200" t="s">
        <v>6</v>
      </c>
      <c r="AA31" s="200" t="s">
        <v>6</v>
      </c>
      <c r="AB31" s="200" t="s">
        <v>6</v>
      </c>
      <c r="AC31" s="200" t="s">
        <v>6</v>
      </c>
      <c r="AD31" s="200" t="s">
        <v>6</v>
      </c>
      <c r="AE31" s="200" t="s">
        <v>6</v>
      </c>
      <c r="AF31" s="200" t="s">
        <v>6</v>
      </c>
      <c r="AG31" s="200" t="s">
        <v>6</v>
      </c>
      <c r="AH31" s="200" t="s">
        <v>6</v>
      </c>
      <c r="AI31" s="200" t="s">
        <v>6</v>
      </c>
      <c r="AJ31" s="200" t="s">
        <v>6</v>
      </c>
      <c r="AK31" s="200" t="s">
        <v>6</v>
      </c>
      <c r="AL31" s="200" t="s">
        <v>6</v>
      </c>
      <c r="AM31" s="200" t="s">
        <v>6</v>
      </c>
      <c r="AN31" s="200" t="s">
        <v>6</v>
      </c>
      <c r="AO31" s="200" t="s">
        <v>6</v>
      </c>
      <c r="AP31" s="200" t="s">
        <v>6</v>
      </c>
      <c r="AQ31" s="200" t="s">
        <v>6</v>
      </c>
      <c r="AR31" s="200" t="s">
        <v>6</v>
      </c>
      <c r="AS31" s="200" t="s">
        <v>6</v>
      </c>
      <c r="AT31" s="200" t="s">
        <v>6</v>
      </c>
      <c r="AU31" s="200" t="s">
        <v>6</v>
      </c>
      <c r="AV31" s="200" t="s">
        <v>6</v>
      </c>
      <c r="AW31" s="200" t="s">
        <v>6</v>
      </c>
      <c r="AX31" s="200" t="s">
        <v>6</v>
      </c>
      <c r="AY31" s="200" t="s">
        <v>6</v>
      </c>
      <c r="AZ31" s="198" t="s">
        <v>6</v>
      </c>
      <c r="BA31" s="106" t="s">
        <v>6</v>
      </c>
      <c r="BB31" s="106" t="s">
        <v>6</v>
      </c>
      <c r="BC31" s="199" t="s">
        <v>6</v>
      </c>
      <c r="BD31" s="105" t="s">
        <v>6</v>
      </c>
      <c r="BE31" s="105" t="s">
        <v>6</v>
      </c>
      <c r="BF31" s="105" t="s">
        <v>6</v>
      </c>
      <c r="BG31" s="198" t="s">
        <v>6</v>
      </c>
      <c r="BH31" s="107" t="s">
        <v>6</v>
      </c>
      <c r="BI31" s="107" t="s">
        <v>6</v>
      </c>
      <c r="BJ31" s="107" t="s">
        <v>6</v>
      </c>
      <c r="BK31" s="107" t="s">
        <v>6</v>
      </c>
      <c r="BL31" s="107" t="s">
        <v>6</v>
      </c>
      <c r="BM31" s="107" t="s">
        <v>6</v>
      </c>
      <c r="BN31" s="106" t="s">
        <v>6</v>
      </c>
      <c r="BO31" s="106" t="s">
        <v>6</v>
      </c>
      <c r="BP31" s="106" t="s">
        <v>6</v>
      </c>
      <c r="BQ31" s="106" t="s">
        <v>6</v>
      </c>
      <c r="BR31" s="108" t="s">
        <v>6</v>
      </c>
      <c r="BS31" s="109" t="s">
        <v>6</v>
      </c>
      <c r="BT31" s="109" t="s">
        <v>6</v>
      </c>
      <c r="BU31" s="109" t="s">
        <v>6</v>
      </c>
      <c r="BV31" s="105" t="s">
        <v>6</v>
      </c>
      <c r="BW31" s="105" t="s">
        <v>6</v>
      </c>
      <c r="BX31" s="105" t="s">
        <v>6</v>
      </c>
      <c r="BY31" s="199" t="s">
        <v>6</v>
      </c>
      <c r="BZ31" s="105" t="s">
        <v>6</v>
      </c>
      <c r="CA31" s="105" t="s">
        <v>6</v>
      </c>
      <c r="CB31" s="105" t="s">
        <v>6</v>
      </c>
      <c r="CC31" s="110" t="s">
        <v>86</v>
      </c>
    </row>
    <row r="32" spans="1:81" ht="11.25" customHeight="1">
      <c r="A32" s="503"/>
      <c r="B32" s="505"/>
      <c r="C32" s="264" t="s">
        <v>555</v>
      </c>
      <c r="D32" s="457">
        <f t="shared" ref="D32:D33" si="2">IFERROR((D$73+BI$73+($N$73+$O$73)/SUM($D$75:$M$75)*D$75)/D24,0)</f>
        <v>604071.94386904757</v>
      </c>
      <c r="E32" s="206"/>
      <c r="F32" s="206"/>
      <c r="G32" s="206"/>
      <c r="H32" s="206"/>
      <c r="I32" s="280">
        <f>IFERROR((I$73+BK$73+($N$73+$O$73)/SUM($D$75:$M$75)*I$75)/I24,0)</f>
        <v>0</v>
      </c>
      <c r="J32" s="206"/>
      <c r="K32" s="206"/>
      <c r="L32" s="206"/>
      <c r="M32" s="206"/>
      <c r="N32" s="433" t="s">
        <v>6</v>
      </c>
      <c r="O32" s="107" t="s">
        <v>6</v>
      </c>
      <c r="P32" s="107" t="s">
        <v>6</v>
      </c>
      <c r="Q32" s="205" t="s">
        <v>6</v>
      </c>
      <c r="R32" s="200" t="s">
        <v>6</v>
      </c>
      <c r="S32" s="200" t="s">
        <v>6</v>
      </c>
      <c r="T32" s="200" t="s">
        <v>6</v>
      </c>
      <c r="U32" s="200" t="s">
        <v>6</v>
      </c>
      <c r="V32" s="200" t="s">
        <v>6</v>
      </c>
      <c r="W32" s="200" t="s">
        <v>6</v>
      </c>
      <c r="X32" s="200" t="s">
        <v>6</v>
      </c>
      <c r="Y32" s="200" t="s">
        <v>6</v>
      </c>
      <c r="Z32" s="200" t="s">
        <v>6</v>
      </c>
      <c r="AA32" s="200" t="s">
        <v>6</v>
      </c>
      <c r="AB32" s="200" t="s">
        <v>6</v>
      </c>
      <c r="AC32" s="200" t="s">
        <v>6</v>
      </c>
      <c r="AD32" s="200" t="s">
        <v>6</v>
      </c>
      <c r="AE32" s="200" t="s">
        <v>6</v>
      </c>
      <c r="AF32" s="200" t="s">
        <v>6</v>
      </c>
      <c r="AG32" s="200" t="s">
        <v>6</v>
      </c>
      <c r="AH32" s="200" t="s">
        <v>6</v>
      </c>
      <c r="AI32" s="200" t="s">
        <v>6</v>
      </c>
      <c r="AJ32" s="200" t="s">
        <v>6</v>
      </c>
      <c r="AK32" s="200" t="s">
        <v>6</v>
      </c>
      <c r="AL32" s="200" t="s">
        <v>6</v>
      </c>
      <c r="AM32" s="200" t="s">
        <v>6</v>
      </c>
      <c r="AN32" s="200" t="s">
        <v>6</v>
      </c>
      <c r="AO32" s="200" t="s">
        <v>6</v>
      </c>
      <c r="AP32" s="200" t="s">
        <v>6</v>
      </c>
      <c r="AQ32" s="200" t="s">
        <v>6</v>
      </c>
      <c r="AR32" s="200" t="s">
        <v>6</v>
      </c>
      <c r="AS32" s="200" t="s">
        <v>6</v>
      </c>
      <c r="AT32" s="200" t="s">
        <v>6</v>
      </c>
      <c r="AU32" s="200" t="s">
        <v>6</v>
      </c>
      <c r="AV32" s="200" t="s">
        <v>6</v>
      </c>
      <c r="AW32" s="200" t="s">
        <v>6</v>
      </c>
      <c r="AX32" s="200" t="s">
        <v>6</v>
      </c>
      <c r="AY32" s="200" t="s">
        <v>6</v>
      </c>
      <c r="AZ32" s="198" t="s">
        <v>6</v>
      </c>
      <c r="BA32" s="106" t="s">
        <v>6</v>
      </c>
      <c r="BB32" s="106" t="s">
        <v>6</v>
      </c>
      <c r="BC32" s="199" t="s">
        <v>6</v>
      </c>
      <c r="BD32" s="105" t="s">
        <v>6</v>
      </c>
      <c r="BE32" s="105" t="s">
        <v>6</v>
      </c>
      <c r="BF32" s="105" t="s">
        <v>6</v>
      </c>
      <c r="BG32" s="198" t="s">
        <v>6</v>
      </c>
      <c r="BH32" s="107" t="s">
        <v>6</v>
      </c>
      <c r="BI32" s="107" t="s">
        <v>6</v>
      </c>
      <c r="BJ32" s="107" t="s">
        <v>6</v>
      </c>
      <c r="BK32" s="107" t="s">
        <v>6</v>
      </c>
      <c r="BL32" s="107" t="s">
        <v>6</v>
      </c>
      <c r="BM32" s="107" t="s">
        <v>6</v>
      </c>
      <c r="BN32" s="106" t="s">
        <v>6</v>
      </c>
      <c r="BO32" s="106" t="s">
        <v>6</v>
      </c>
      <c r="BP32" s="106" t="s">
        <v>6</v>
      </c>
      <c r="BQ32" s="106" t="s">
        <v>6</v>
      </c>
      <c r="BR32" s="108" t="s">
        <v>6</v>
      </c>
      <c r="BS32" s="109" t="s">
        <v>6</v>
      </c>
      <c r="BT32" s="109" t="s">
        <v>6</v>
      </c>
      <c r="BU32" s="109" t="s">
        <v>6</v>
      </c>
      <c r="BV32" s="105" t="s">
        <v>6</v>
      </c>
      <c r="BW32" s="105" t="s">
        <v>6</v>
      </c>
      <c r="BX32" s="105" t="s">
        <v>6</v>
      </c>
      <c r="BY32" s="199" t="s">
        <v>6</v>
      </c>
      <c r="BZ32" s="105" t="s">
        <v>6</v>
      </c>
      <c r="CA32" s="105" t="s">
        <v>6</v>
      </c>
      <c r="CB32" s="105" t="s">
        <v>6</v>
      </c>
      <c r="CC32" s="110" t="s">
        <v>86</v>
      </c>
    </row>
    <row r="33" spans="1:81" ht="11.25" customHeight="1">
      <c r="A33" s="502" t="s">
        <v>546</v>
      </c>
      <c r="B33" s="504" t="s">
        <v>15</v>
      </c>
      <c r="C33" s="264" t="s">
        <v>554</v>
      </c>
      <c r="D33" s="457">
        <f t="shared" si="2"/>
        <v>7168.4740107367379</v>
      </c>
      <c r="E33" s="206"/>
      <c r="F33" s="206"/>
      <c r="G33" s="206"/>
      <c r="H33" s="206"/>
      <c r="I33" s="206"/>
      <c r="J33" s="206"/>
      <c r="K33" s="206"/>
      <c r="L33" s="206"/>
      <c r="M33" s="206"/>
      <c r="N33" s="433" t="s">
        <v>6</v>
      </c>
      <c r="O33" s="107" t="s">
        <v>6</v>
      </c>
      <c r="P33" s="107" t="s">
        <v>6</v>
      </c>
      <c r="Q33" s="205" t="s">
        <v>6</v>
      </c>
      <c r="R33" s="200" t="s">
        <v>6</v>
      </c>
      <c r="S33" s="200" t="s">
        <v>6</v>
      </c>
      <c r="T33" s="200" t="s">
        <v>6</v>
      </c>
      <c r="U33" s="200" t="s">
        <v>6</v>
      </c>
      <c r="V33" s="200" t="s">
        <v>6</v>
      </c>
      <c r="W33" s="200" t="s">
        <v>6</v>
      </c>
      <c r="X33" s="200" t="s">
        <v>6</v>
      </c>
      <c r="Y33" s="200" t="s">
        <v>6</v>
      </c>
      <c r="Z33" s="200" t="s">
        <v>6</v>
      </c>
      <c r="AA33" s="200" t="s">
        <v>6</v>
      </c>
      <c r="AB33" s="200" t="s">
        <v>6</v>
      </c>
      <c r="AC33" s="200" t="s">
        <v>6</v>
      </c>
      <c r="AD33" s="200" t="s">
        <v>6</v>
      </c>
      <c r="AE33" s="200" t="s">
        <v>6</v>
      </c>
      <c r="AF33" s="200" t="s">
        <v>6</v>
      </c>
      <c r="AG33" s="200" t="s">
        <v>6</v>
      </c>
      <c r="AH33" s="200" t="s">
        <v>6</v>
      </c>
      <c r="AI33" s="200" t="s">
        <v>6</v>
      </c>
      <c r="AJ33" s="200" t="s">
        <v>6</v>
      </c>
      <c r="AK33" s="200" t="s">
        <v>6</v>
      </c>
      <c r="AL33" s="200" t="s">
        <v>6</v>
      </c>
      <c r="AM33" s="200" t="s">
        <v>6</v>
      </c>
      <c r="AN33" s="200" t="s">
        <v>6</v>
      </c>
      <c r="AO33" s="200" t="s">
        <v>6</v>
      </c>
      <c r="AP33" s="200" t="s">
        <v>6</v>
      </c>
      <c r="AQ33" s="200" t="s">
        <v>6</v>
      </c>
      <c r="AR33" s="200" t="s">
        <v>6</v>
      </c>
      <c r="AS33" s="200" t="s">
        <v>6</v>
      </c>
      <c r="AT33" s="200" t="s">
        <v>6</v>
      </c>
      <c r="AU33" s="200" t="s">
        <v>6</v>
      </c>
      <c r="AV33" s="200" t="s">
        <v>6</v>
      </c>
      <c r="AW33" s="200" t="s">
        <v>6</v>
      </c>
      <c r="AX33" s="200" t="s">
        <v>6</v>
      </c>
      <c r="AY33" s="200" t="s">
        <v>6</v>
      </c>
      <c r="AZ33" s="198" t="s">
        <v>6</v>
      </c>
      <c r="BA33" s="106" t="s">
        <v>6</v>
      </c>
      <c r="BB33" s="106" t="s">
        <v>6</v>
      </c>
      <c r="BC33" s="199" t="s">
        <v>6</v>
      </c>
      <c r="BD33" s="105" t="s">
        <v>6</v>
      </c>
      <c r="BE33" s="105" t="s">
        <v>6</v>
      </c>
      <c r="BF33" s="105" t="s">
        <v>6</v>
      </c>
      <c r="BG33" s="198" t="s">
        <v>6</v>
      </c>
      <c r="BH33" s="107" t="s">
        <v>6</v>
      </c>
      <c r="BI33" s="107" t="s">
        <v>6</v>
      </c>
      <c r="BJ33" s="107" t="s">
        <v>6</v>
      </c>
      <c r="BK33" s="107" t="s">
        <v>6</v>
      </c>
      <c r="BL33" s="107" t="s">
        <v>6</v>
      </c>
      <c r="BM33" s="107" t="s">
        <v>6</v>
      </c>
      <c r="BN33" s="106" t="s">
        <v>6</v>
      </c>
      <c r="BO33" s="106" t="s">
        <v>6</v>
      </c>
      <c r="BP33" s="106" t="s">
        <v>6</v>
      </c>
      <c r="BQ33" s="106" t="s">
        <v>6</v>
      </c>
      <c r="BR33" s="108" t="s">
        <v>6</v>
      </c>
      <c r="BS33" s="109" t="s">
        <v>6</v>
      </c>
      <c r="BT33" s="109" t="s">
        <v>6</v>
      </c>
      <c r="BU33" s="109" t="s">
        <v>6</v>
      </c>
      <c r="BV33" s="105" t="s">
        <v>6</v>
      </c>
      <c r="BW33" s="105" t="s">
        <v>6</v>
      </c>
      <c r="BX33" s="105" t="s">
        <v>6</v>
      </c>
      <c r="BY33" s="199" t="s">
        <v>6</v>
      </c>
      <c r="BZ33" s="105" t="s">
        <v>6</v>
      </c>
      <c r="CA33" s="105" t="s">
        <v>6</v>
      </c>
      <c r="CB33" s="105" t="s">
        <v>6</v>
      </c>
      <c r="CC33" s="110" t="s">
        <v>86</v>
      </c>
    </row>
    <row r="34" spans="1:81" ht="11.25" customHeight="1">
      <c r="A34" s="503"/>
      <c r="B34" s="505"/>
      <c r="C34" s="264" t="s">
        <v>555</v>
      </c>
      <c r="D34" s="280">
        <f>IFERROR((D$73+BI$73+($N$73+$O$73)/SUM($D$75:$M$75)*D$75)/D26,0)</f>
        <v>1664.1100382067427</v>
      </c>
      <c r="E34" s="206"/>
      <c r="F34" s="206"/>
      <c r="G34" s="206"/>
      <c r="H34" s="206"/>
      <c r="I34" s="280">
        <f>IFERROR((I$73+BK$73+($N$73+$O$73)/SUM($D$75:$M$75)*I$75)/I26,0)</f>
        <v>0</v>
      </c>
      <c r="J34" s="206"/>
      <c r="K34" s="206"/>
      <c r="L34" s="206"/>
      <c r="M34" s="206"/>
      <c r="N34" s="433" t="s">
        <v>6</v>
      </c>
      <c r="O34" s="107" t="s">
        <v>6</v>
      </c>
      <c r="P34" s="107" t="s">
        <v>6</v>
      </c>
      <c r="Q34" s="205" t="s">
        <v>6</v>
      </c>
      <c r="R34" s="200" t="s">
        <v>6</v>
      </c>
      <c r="S34" s="200" t="s">
        <v>6</v>
      </c>
      <c r="T34" s="200" t="s">
        <v>6</v>
      </c>
      <c r="U34" s="200" t="s">
        <v>6</v>
      </c>
      <c r="V34" s="200" t="s">
        <v>6</v>
      </c>
      <c r="W34" s="200" t="s">
        <v>6</v>
      </c>
      <c r="X34" s="200" t="s">
        <v>6</v>
      </c>
      <c r="Y34" s="200" t="s">
        <v>6</v>
      </c>
      <c r="Z34" s="200" t="s">
        <v>6</v>
      </c>
      <c r="AA34" s="200" t="s">
        <v>6</v>
      </c>
      <c r="AB34" s="200" t="s">
        <v>6</v>
      </c>
      <c r="AC34" s="200" t="s">
        <v>6</v>
      </c>
      <c r="AD34" s="200" t="s">
        <v>6</v>
      </c>
      <c r="AE34" s="200" t="s">
        <v>6</v>
      </c>
      <c r="AF34" s="200" t="s">
        <v>6</v>
      </c>
      <c r="AG34" s="200" t="s">
        <v>6</v>
      </c>
      <c r="AH34" s="200" t="s">
        <v>6</v>
      </c>
      <c r="AI34" s="200" t="s">
        <v>6</v>
      </c>
      <c r="AJ34" s="200" t="s">
        <v>6</v>
      </c>
      <c r="AK34" s="200" t="s">
        <v>6</v>
      </c>
      <c r="AL34" s="200" t="s">
        <v>6</v>
      </c>
      <c r="AM34" s="200" t="s">
        <v>6</v>
      </c>
      <c r="AN34" s="200" t="s">
        <v>6</v>
      </c>
      <c r="AO34" s="200" t="s">
        <v>6</v>
      </c>
      <c r="AP34" s="200" t="s">
        <v>6</v>
      </c>
      <c r="AQ34" s="200" t="s">
        <v>6</v>
      </c>
      <c r="AR34" s="200" t="s">
        <v>6</v>
      </c>
      <c r="AS34" s="200" t="s">
        <v>6</v>
      </c>
      <c r="AT34" s="200" t="s">
        <v>6</v>
      </c>
      <c r="AU34" s="200" t="s">
        <v>6</v>
      </c>
      <c r="AV34" s="200" t="s">
        <v>6</v>
      </c>
      <c r="AW34" s="200" t="s">
        <v>6</v>
      </c>
      <c r="AX34" s="200" t="s">
        <v>6</v>
      </c>
      <c r="AY34" s="200" t="s">
        <v>6</v>
      </c>
      <c r="AZ34" s="198" t="s">
        <v>6</v>
      </c>
      <c r="BA34" s="106" t="s">
        <v>6</v>
      </c>
      <c r="BB34" s="106" t="s">
        <v>6</v>
      </c>
      <c r="BC34" s="199" t="s">
        <v>6</v>
      </c>
      <c r="BD34" s="105" t="s">
        <v>6</v>
      </c>
      <c r="BE34" s="105" t="s">
        <v>6</v>
      </c>
      <c r="BF34" s="105" t="s">
        <v>6</v>
      </c>
      <c r="BG34" s="198" t="s">
        <v>6</v>
      </c>
      <c r="BH34" s="107" t="s">
        <v>6</v>
      </c>
      <c r="BI34" s="107" t="s">
        <v>6</v>
      </c>
      <c r="BJ34" s="107" t="s">
        <v>6</v>
      </c>
      <c r="BK34" s="107" t="s">
        <v>6</v>
      </c>
      <c r="BL34" s="107" t="s">
        <v>6</v>
      </c>
      <c r="BM34" s="107" t="s">
        <v>6</v>
      </c>
      <c r="BN34" s="106" t="s">
        <v>6</v>
      </c>
      <c r="BO34" s="106" t="s">
        <v>6</v>
      </c>
      <c r="BP34" s="106" t="s">
        <v>6</v>
      </c>
      <c r="BQ34" s="106" t="s">
        <v>6</v>
      </c>
      <c r="BR34" s="108" t="s">
        <v>6</v>
      </c>
      <c r="BS34" s="109" t="s">
        <v>6</v>
      </c>
      <c r="BT34" s="109" t="s">
        <v>6</v>
      </c>
      <c r="BU34" s="109" t="s">
        <v>6</v>
      </c>
      <c r="BV34" s="105" t="s">
        <v>6</v>
      </c>
      <c r="BW34" s="105" t="s">
        <v>6</v>
      </c>
      <c r="BX34" s="105" t="s">
        <v>6</v>
      </c>
      <c r="BY34" s="199" t="s">
        <v>6</v>
      </c>
      <c r="BZ34" s="105" t="s">
        <v>6</v>
      </c>
      <c r="CA34" s="105" t="s">
        <v>6</v>
      </c>
      <c r="CB34" s="105" t="s">
        <v>6</v>
      </c>
      <c r="CC34" s="110" t="s">
        <v>86</v>
      </c>
    </row>
    <row r="35" spans="1:81" s="220" customFormat="1" ht="31.2">
      <c r="A35" s="258" t="s">
        <v>614</v>
      </c>
      <c r="B35" s="271" t="s">
        <v>559</v>
      </c>
      <c r="C35" s="207">
        <f t="shared" ref="C35:C72" si="3">SUM(D35:P35)</f>
        <v>0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426"/>
      <c r="O35" s="208"/>
      <c r="P35" s="209"/>
      <c r="Q35" s="207">
        <f t="shared" ref="Q35:Q98" si="4">SUM(R35:AY35)</f>
        <v>0</v>
      </c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3">
        <f t="shared" ref="AZ35:AZ36" si="5">SUM(BA35:BB35)</f>
        <v>0</v>
      </c>
      <c r="BA35" s="212"/>
      <c r="BB35" s="212"/>
      <c r="BC35" s="213">
        <f t="shared" ref="BC35:BC36" si="6">SUM(BD35:BF35)</f>
        <v>0</v>
      </c>
      <c r="BD35" s="209"/>
      <c r="BE35" s="209"/>
      <c r="BF35" s="209"/>
      <c r="BG35" s="213">
        <f t="shared" ref="BG35:BG36" si="7">SUM(BI35:BR35,BV35:BX35)</f>
        <v>0</v>
      </c>
      <c r="BH35" s="214"/>
      <c r="BI35" s="214">
        <v>0</v>
      </c>
      <c r="BJ35" s="214"/>
      <c r="BK35" s="214"/>
      <c r="BL35" s="214"/>
      <c r="BM35" s="215"/>
      <c r="BN35" s="212"/>
      <c r="BO35" s="212"/>
      <c r="BP35" s="212"/>
      <c r="BQ35" s="212"/>
      <c r="BR35" s="216">
        <f t="shared" ref="BR35:BR36" si="8">SUM(BS35:BU35)</f>
        <v>0</v>
      </c>
      <c r="BS35" s="217"/>
      <c r="BT35" s="217"/>
      <c r="BU35" s="217"/>
      <c r="BV35" s="209"/>
      <c r="BW35" s="218"/>
      <c r="BX35" s="209"/>
      <c r="BY35" s="213">
        <f>SUM(C35,Q35,AZ35,BC35,BG35)</f>
        <v>0</v>
      </c>
      <c r="BZ35" s="209">
        <f>SUM(CA35:CB35)</f>
        <v>0</v>
      </c>
      <c r="CA35" s="209"/>
      <c r="CB35" s="209"/>
      <c r="CC35" s="219" t="s">
        <v>86</v>
      </c>
    </row>
    <row r="36" spans="1:81" s="220" customFormat="1" ht="31.2">
      <c r="A36" s="258" t="s">
        <v>615</v>
      </c>
      <c r="B36" s="271" t="s">
        <v>560</v>
      </c>
      <c r="C36" s="458">
        <f t="shared" si="3"/>
        <v>9.3132257461547852E-10</v>
      </c>
      <c r="D36" s="211">
        <f>SUM(D35,D37)-D73-D152-D153</f>
        <v>0</v>
      </c>
      <c r="E36" s="211">
        <f t="shared" ref="E36:P36" si="9">SUM(E35,E37)-E73-E152-E153</f>
        <v>0</v>
      </c>
      <c r="F36" s="211">
        <f t="shared" si="9"/>
        <v>0</v>
      </c>
      <c r="G36" s="211">
        <f t="shared" si="9"/>
        <v>0</v>
      </c>
      <c r="H36" s="211">
        <f t="shared" si="9"/>
        <v>0</v>
      </c>
      <c r="I36" s="211">
        <f t="shared" si="9"/>
        <v>0</v>
      </c>
      <c r="J36" s="211">
        <f t="shared" si="9"/>
        <v>0</v>
      </c>
      <c r="K36" s="211">
        <f t="shared" si="9"/>
        <v>0</v>
      </c>
      <c r="L36" s="211">
        <f t="shared" si="9"/>
        <v>0</v>
      </c>
      <c r="M36" s="211">
        <f t="shared" si="9"/>
        <v>0</v>
      </c>
      <c r="N36" s="427">
        <f t="shared" si="9"/>
        <v>0</v>
      </c>
      <c r="O36" s="211">
        <f t="shared" si="9"/>
        <v>9.3132257461547852E-10</v>
      </c>
      <c r="P36" s="211">
        <f t="shared" si="9"/>
        <v>0</v>
      </c>
      <c r="Q36" s="207">
        <f t="shared" si="4"/>
        <v>0</v>
      </c>
      <c r="R36" s="211">
        <f t="shared" ref="R36:AY36" si="10">SUM(R35,R37)-R73-R152-R153</f>
        <v>0</v>
      </c>
      <c r="S36" s="211">
        <f t="shared" si="10"/>
        <v>0</v>
      </c>
      <c r="T36" s="211">
        <f t="shared" si="10"/>
        <v>0</v>
      </c>
      <c r="U36" s="211">
        <f t="shared" si="10"/>
        <v>0</v>
      </c>
      <c r="V36" s="211">
        <f t="shared" si="10"/>
        <v>0</v>
      </c>
      <c r="W36" s="211">
        <f t="shared" si="10"/>
        <v>0</v>
      </c>
      <c r="X36" s="211">
        <f t="shared" si="10"/>
        <v>0</v>
      </c>
      <c r="Y36" s="211">
        <f t="shared" si="10"/>
        <v>0</v>
      </c>
      <c r="Z36" s="211">
        <f t="shared" si="10"/>
        <v>0</v>
      </c>
      <c r="AA36" s="211">
        <f t="shared" si="10"/>
        <v>0</v>
      </c>
      <c r="AB36" s="211">
        <f t="shared" si="10"/>
        <v>0</v>
      </c>
      <c r="AC36" s="211">
        <f t="shared" si="10"/>
        <v>0</v>
      </c>
      <c r="AD36" s="211">
        <f t="shared" si="10"/>
        <v>0</v>
      </c>
      <c r="AE36" s="211">
        <f t="shared" si="10"/>
        <v>0</v>
      </c>
      <c r="AF36" s="211">
        <f t="shared" si="10"/>
        <v>0</v>
      </c>
      <c r="AG36" s="211">
        <f t="shared" si="10"/>
        <v>0</v>
      </c>
      <c r="AH36" s="211">
        <f t="shared" si="10"/>
        <v>0</v>
      </c>
      <c r="AI36" s="211">
        <f t="shared" si="10"/>
        <v>0</v>
      </c>
      <c r="AJ36" s="211">
        <f t="shared" si="10"/>
        <v>0</v>
      </c>
      <c r="AK36" s="211">
        <f t="shared" si="10"/>
        <v>0</v>
      </c>
      <c r="AL36" s="211">
        <f t="shared" si="10"/>
        <v>0</v>
      </c>
      <c r="AM36" s="211">
        <f t="shared" si="10"/>
        <v>0</v>
      </c>
      <c r="AN36" s="211">
        <f t="shared" si="10"/>
        <v>0</v>
      </c>
      <c r="AO36" s="211">
        <f t="shared" si="10"/>
        <v>0</v>
      </c>
      <c r="AP36" s="211">
        <f t="shared" si="10"/>
        <v>0</v>
      </c>
      <c r="AQ36" s="211">
        <f t="shared" si="10"/>
        <v>0</v>
      </c>
      <c r="AR36" s="211">
        <f t="shared" si="10"/>
        <v>0</v>
      </c>
      <c r="AS36" s="211">
        <f t="shared" si="10"/>
        <v>0</v>
      </c>
      <c r="AT36" s="211">
        <f t="shared" si="10"/>
        <v>0</v>
      </c>
      <c r="AU36" s="211">
        <f t="shared" si="10"/>
        <v>0</v>
      </c>
      <c r="AV36" s="211">
        <f t="shared" si="10"/>
        <v>0</v>
      </c>
      <c r="AW36" s="211">
        <f t="shared" si="10"/>
        <v>0</v>
      </c>
      <c r="AX36" s="211">
        <f t="shared" si="10"/>
        <v>0</v>
      </c>
      <c r="AY36" s="211">
        <f t="shared" si="10"/>
        <v>0</v>
      </c>
      <c r="AZ36" s="213">
        <f t="shared" si="5"/>
        <v>0</v>
      </c>
      <c r="BA36" s="211">
        <f t="shared" ref="BA36:BB36" si="11">SUM(BA35,BA37)-BA73-BA152-BA153</f>
        <v>0</v>
      </c>
      <c r="BB36" s="211">
        <f t="shared" si="11"/>
        <v>0</v>
      </c>
      <c r="BC36" s="213">
        <f t="shared" si="6"/>
        <v>0</v>
      </c>
      <c r="BD36" s="211">
        <f t="shared" ref="BD36:BF36" si="12">SUM(BD35,BD37)-BD73-BD152-BD153</f>
        <v>0</v>
      </c>
      <c r="BE36" s="211">
        <f t="shared" si="12"/>
        <v>0</v>
      </c>
      <c r="BF36" s="211">
        <f t="shared" si="12"/>
        <v>0</v>
      </c>
      <c r="BG36" s="213">
        <f t="shared" si="7"/>
        <v>500000</v>
      </c>
      <c r="BH36" s="211">
        <f t="shared" ref="BH36:BQ36" si="13">SUM(BH35,BH37)-BH73-BH152-BH153</f>
        <v>0</v>
      </c>
      <c r="BI36" s="211">
        <f>SUM(BI35,BI37)-BI73-BI152-BI153</f>
        <v>500000</v>
      </c>
      <c r="BJ36" s="211">
        <f t="shared" si="13"/>
        <v>0</v>
      </c>
      <c r="BK36" s="211">
        <f t="shared" si="13"/>
        <v>0</v>
      </c>
      <c r="BL36" s="211">
        <f t="shared" si="13"/>
        <v>0</v>
      </c>
      <c r="BM36" s="211">
        <f t="shared" si="13"/>
        <v>0</v>
      </c>
      <c r="BN36" s="211">
        <f t="shared" si="13"/>
        <v>0</v>
      </c>
      <c r="BO36" s="211">
        <f t="shared" si="13"/>
        <v>0</v>
      </c>
      <c r="BP36" s="211">
        <f t="shared" si="13"/>
        <v>0</v>
      </c>
      <c r="BQ36" s="211">
        <f t="shared" si="13"/>
        <v>0</v>
      </c>
      <c r="BR36" s="216">
        <f t="shared" si="8"/>
        <v>0</v>
      </c>
      <c r="BS36" s="211">
        <f t="shared" ref="BS36:BX36" si="14">SUM(BS35,BS37)-BS73-BS152-BS153</f>
        <v>0</v>
      </c>
      <c r="BT36" s="211">
        <f t="shared" si="14"/>
        <v>0</v>
      </c>
      <c r="BU36" s="211">
        <f t="shared" si="14"/>
        <v>0</v>
      </c>
      <c r="BV36" s="211">
        <f t="shared" si="14"/>
        <v>0</v>
      </c>
      <c r="BW36" s="211">
        <f t="shared" si="14"/>
        <v>0</v>
      </c>
      <c r="BX36" s="211">
        <f t="shared" si="14"/>
        <v>0</v>
      </c>
      <c r="BY36" s="152">
        <f t="shared" ref="BY36:BY99" si="15">SUM(C36,Q36,AZ36,BC36,BG36)</f>
        <v>500000.00000000093</v>
      </c>
      <c r="BZ36" s="211">
        <f t="shared" ref="BZ36:CB36" si="16">SUM(BZ35,BZ37)-BZ73-BZ152-BZ153</f>
        <v>0</v>
      </c>
      <c r="CA36" s="211">
        <f t="shared" si="16"/>
        <v>0</v>
      </c>
      <c r="CB36" s="211">
        <f t="shared" si="16"/>
        <v>0</v>
      </c>
      <c r="CC36" s="219" t="s">
        <v>86</v>
      </c>
    </row>
    <row r="37" spans="1:81" ht="18">
      <c r="A37" s="149" t="s">
        <v>548</v>
      </c>
      <c r="B37" s="271" t="s">
        <v>561</v>
      </c>
      <c r="C37" s="207">
        <f t="shared" si="3"/>
        <v>61409780</v>
      </c>
      <c r="D37" s="211">
        <f>SUM(D38,D52:D54,D65:D72)</f>
        <v>47863946.07</v>
      </c>
      <c r="E37" s="211">
        <f t="shared" ref="E37:O37" si="17">SUM(E38,E52:E54,E65:E72)</f>
        <v>0</v>
      </c>
      <c r="F37" s="211">
        <f t="shared" si="17"/>
        <v>0</v>
      </c>
      <c r="G37" s="211">
        <f t="shared" si="17"/>
        <v>0</v>
      </c>
      <c r="H37" s="211">
        <f t="shared" si="17"/>
        <v>0</v>
      </c>
      <c r="I37" s="211">
        <f t="shared" si="17"/>
        <v>0</v>
      </c>
      <c r="J37" s="211">
        <f t="shared" si="17"/>
        <v>0</v>
      </c>
      <c r="K37" s="211">
        <f t="shared" si="17"/>
        <v>0</v>
      </c>
      <c r="L37" s="211">
        <f t="shared" si="17"/>
        <v>0</v>
      </c>
      <c r="M37" s="211">
        <f t="shared" si="17"/>
        <v>0</v>
      </c>
      <c r="N37" s="427">
        <f t="shared" si="17"/>
        <v>7101929.3799999999</v>
      </c>
      <c r="O37" s="211">
        <f t="shared" si="17"/>
        <v>6237611.1200000001</v>
      </c>
      <c r="P37" s="211">
        <f>SUM(P38,P52:P54,P65:P72)</f>
        <v>206293.43</v>
      </c>
      <c r="Q37" s="207">
        <f t="shared" si="4"/>
        <v>0</v>
      </c>
      <c r="R37" s="211">
        <f t="shared" ref="R37:AY37" si="18">SUM(R38,R52:R54,R65:R72)</f>
        <v>0</v>
      </c>
      <c r="S37" s="211">
        <f t="shared" si="18"/>
        <v>0</v>
      </c>
      <c r="T37" s="211">
        <f t="shared" si="18"/>
        <v>0</v>
      </c>
      <c r="U37" s="211">
        <f t="shared" si="18"/>
        <v>0</v>
      </c>
      <c r="V37" s="211">
        <f t="shared" si="18"/>
        <v>0</v>
      </c>
      <c r="W37" s="211">
        <f t="shared" si="18"/>
        <v>0</v>
      </c>
      <c r="X37" s="211">
        <f t="shared" si="18"/>
        <v>0</v>
      </c>
      <c r="Y37" s="211">
        <f t="shared" si="18"/>
        <v>0</v>
      </c>
      <c r="Z37" s="211">
        <f t="shared" si="18"/>
        <v>0</v>
      </c>
      <c r="AA37" s="211">
        <f t="shared" si="18"/>
        <v>0</v>
      </c>
      <c r="AB37" s="211">
        <f t="shared" si="18"/>
        <v>0</v>
      </c>
      <c r="AC37" s="211">
        <f t="shared" si="18"/>
        <v>0</v>
      </c>
      <c r="AD37" s="211">
        <f t="shared" si="18"/>
        <v>0</v>
      </c>
      <c r="AE37" s="211">
        <f t="shared" si="18"/>
        <v>0</v>
      </c>
      <c r="AF37" s="211">
        <f t="shared" si="18"/>
        <v>0</v>
      </c>
      <c r="AG37" s="211">
        <f t="shared" si="18"/>
        <v>0</v>
      </c>
      <c r="AH37" s="211">
        <f t="shared" si="18"/>
        <v>0</v>
      </c>
      <c r="AI37" s="211">
        <f t="shared" si="18"/>
        <v>0</v>
      </c>
      <c r="AJ37" s="211">
        <f t="shared" si="18"/>
        <v>0</v>
      </c>
      <c r="AK37" s="211">
        <f t="shared" si="18"/>
        <v>0</v>
      </c>
      <c r="AL37" s="211">
        <f t="shared" si="18"/>
        <v>0</v>
      </c>
      <c r="AM37" s="211">
        <f t="shared" si="18"/>
        <v>0</v>
      </c>
      <c r="AN37" s="211">
        <f t="shared" si="18"/>
        <v>0</v>
      </c>
      <c r="AO37" s="211">
        <f t="shared" si="18"/>
        <v>0</v>
      </c>
      <c r="AP37" s="211">
        <f t="shared" si="18"/>
        <v>0</v>
      </c>
      <c r="AQ37" s="211">
        <f t="shared" si="18"/>
        <v>0</v>
      </c>
      <c r="AR37" s="211">
        <f t="shared" si="18"/>
        <v>0</v>
      </c>
      <c r="AS37" s="211">
        <f t="shared" si="18"/>
        <v>0</v>
      </c>
      <c r="AT37" s="211">
        <f t="shared" si="18"/>
        <v>0</v>
      </c>
      <c r="AU37" s="211">
        <f t="shared" si="18"/>
        <v>0</v>
      </c>
      <c r="AV37" s="211">
        <f t="shared" si="18"/>
        <v>0</v>
      </c>
      <c r="AW37" s="211">
        <f t="shared" si="18"/>
        <v>0</v>
      </c>
      <c r="AX37" s="211">
        <f t="shared" si="18"/>
        <v>0</v>
      </c>
      <c r="AY37" s="211">
        <f t="shared" si="18"/>
        <v>0</v>
      </c>
      <c r="AZ37" s="213">
        <f>SUM(BA37:BB37)</f>
        <v>0</v>
      </c>
      <c r="BA37" s="211">
        <f t="shared" ref="BA37" si="19">SUM(BA38,BA52:BA54,BA65:BA72)</f>
        <v>0</v>
      </c>
      <c r="BB37" s="211">
        <f t="shared" ref="BB37" si="20">SUM(BB38,BB52:BB54,BB65:BB72)</f>
        <v>0</v>
      </c>
      <c r="BC37" s="213">
        <f>SUM(BD37:BF37)</f>
        <v>0</v>
      </c>
      <c r="BD37" s="211">
        <f t="shared" ref="BD37" si="21">SUM(BD38,BD52:BD54,BD65:BD72)</f>
        <v>0</v>
      </c>
      <c r="BE37" s="211">
        <f t="shared" ref="BE37" si="22">SUM(BE38,BE52:BE54,BE65:BE72)</f>
        <v>0</v>
      </c>
      <c r="BF37" s="211">
        <f t="shared" ref="BF37" si="23">SUM(BF38,BF52:BF54,BF65:BF72)</f>
        <v>0</v>
      </c>
      <c r="BG37" s="213">
        <f>SUM(BI37:BR37,BV37:BX37)</f>
        <v>42680600</v>
      </c>
      <c r="BH37" s="211">
        <f t="shared" ref="BH37" si="24">SUM(BH38,BH52:BH54,BH65:BH72)</f>
        <v>0</v>
      </c>
      <c r="BI37" s="211">
        <f>SUM(BI38,BI52:BI54,BI65:BI72)</f>
        <v>40280600</v>
      </c>
      <c r="BJ37" s="211">
        <f t="shared" ref="BJ37" si="25">SUM(BJ38,BJ52:BJ54,BJ65:BJ72)</f>
        <v>0</v>
      </c>
      <c r="BK37" s="211">
        <f t="shared" ref="BK37" si="26">SUM(BK38,BK52:BK54,BK65:BK72)</f>
        <v>0</v>
      </c>
      <c r="BL37" s="211">
        <f t="shared" ref="BL37" si="27">SUM(BL38,BL52:BL54,BL65:BL72)</f>
        <v>0</v>
      </c>
      <c r="BM37" s="211">
        <f t="shared" ref="BM37" si="28">SUM(BM38,BM52:BM54,BM65:BM72)</f>
        <v>607000</v>
      </c>
      <c r="BN37" s="211">
        <f t="shared" ref="BN37" si="29">SUM(BN38,BN52:BN54,BN65:BN72)</f>
        <v>0</v>
      </c>
      <c r="BO37" s="211">
        <f t="shared" ref="BO37" si="30">SUM(BO38,BO52:BO54,BO65:BO72)</f>
        <v>0</v>
      </c>
      <c r="BP37" s="211">
        <f t="shared" ref="BP37" si="31">SUM(BP38,BP52:BP54,BP65:BP72)</f>
        <v>0</v>
      </c>
      <c r="BQ37" s="211">
        <f t="shared" ref="BQ37" si="32">SUM(BQ38,BQ52:BQ54,BQ65:BQ72)</f>
        <v>93000</v>
      </c>
      <c r="BR37" s="216">
        <f>SUM(BS37:BU37)</f>
        <v>1700000</v>
      </c>
      <c r="BS37" s="211">
        <f t="shared" ref="BS37" si="33">SUM(BS38,BS52:BS54,BS65:BS72)</f>
        <v>1350000</v>
      </c>
      <c r="BT37" s="211">
        <f t="shared" ref="BT37" si="34">SUM(BT38,BT52:BT54,BT65:BT72)</f>
        <v>84000</v>
      </c>
      <c r="BU37" s="211">
        <f t="shared" ref="BU37" si="35">SUM(BU38,BU52:BU54,BU65:BU72)</f>
        <v>266000</v>
      </c>
      <c r="BV37" s="211">
        <f t="shared" ref="BV37" si="36">SUM(BV38,BV52:BV54,BV65:BV72)</f>
        <v>0</v>
      </c>
      <c r="BW37" s="211">
        <f t="shared" ref="BW37" si="37">SUM(BW38,BW52:BW54,BW65:BW72)</f>
        <v>0</v>
      </c>
      <c r="BX37" s="211">
        <f>SUM(BX38,BX52:BX54,BX65:BX72)</f>
        <v>0</v>
      </c>
      <c r="BY37" s="213">
        <f t="shared" si="15"/>
        <v>104090380</v>
      </c>
      <c r="BZ37" s="211">
        <f t="shared" ref="BZ37" si="38">SUM(BZ38,BZ52:BZ54,BZ65:BZ72)</f>
        <v>0</v>
      </c>
      <c r="CA37" s="211">
        <f t="shared" ref="CA37" si="39">SUM(CA38,CA52:CA54,CA65:CA72)</f>
        <v>0</v>
      </c>
      <c r="CB37" s="211">
        <f t="shared" ref="CB37" si="40">SUM(CB38,CB52:CB54,CB65:CB72)</f>
        <v>0</v>
      </c>
      <c r="CC37" s="221" t="s">
        <v>86</v>
      </c>
    </row>
    <row r="38" spans="1:81" ht="140.4">
      <c r="A38" s="259" t="s">
        <v>562</v>
      </c>
      <c r="B38" s="273" t="s">
        <v>563</v>
      </c>
      <c r="C38" s="222">
        <f>SUM(D38:P38)</f>
        <v>61409780</v>
      </c>
      <c r="D38" s="224">
        <f>SUM(D39:D51)</f>
        <v>47863946.07</v>
      </c>
      <c r="E38" s="224">
        <f t="shared" ref="E38:O38" si="41">SUM(E39:E51)</f>
        <v>0</v>
      </c>
      <c r="F38" s="224">
        <f t="shared" si="41"/>
        <v>0</v>
      </c>
      <c r="G38" s="224">
        <f t="shared" si="41"/>
        <v>0</v>
      </c>
      <c r="H38" s="224">
        <f t="shared" si="41"/>
        <v>0</v>
      </c>
      <c r="I38" s="224">
        <f t="shared" si="41"/>
        <v>0</v>
      </c>
      <c r="J38" s="224">
        <f t="shared" si="41"/>
        <v>0</v>
      </c>
      <c r="K38" s="224">
        <f t="shared" si="41"/>
        <v>0</v>
      </c>
      <c r="L38" s="224">
        <f t="shared" si="41"/>
        <v>0</v>
      </c>
      <c r="M38" s="224">
        <f t="shared" si="41"/>
        <v>0</v>
      </c>
      <c r="N38" s="224">
        <f t="shared" si="41"/>
        <v>7101929.3799999999</v>
      </c>
      <c r="O38" s="224">
        <f t="shared" si="41"/>
        <v>6237611.1200000001</v>
      </c>
      <c r="P38" s="224">
        <f>SUM(P39:P51)</f>
        <v>206293.43</v>
      </c>
      <c r="Q38" s="225">
        <f t="shared" si="4"/>
        <v>0</v>
      </c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7">
        <f t="shared" ref="AZ38:AZ101" si="42">SUM(BA38:BB38)</f>
        <v>0</v>
      </c>
      <c r="BA38" s="228"/>
      <c r="BB38" s="228"/>
      <c r="BC38" s="229">
        <f t="shared" ref="BC38:BC101" si="43">SUM(BD38:BF38)</f>
        <v>0</v>
      </c>
      <c r="BD38" s="224"/>
      <c r="BE38" s="224"/>
      <c r="BF38" s="224"/>
      <c r="BG38" s="230">
        <f t="shared" ref="BG38:BG101" si="44">SUM(BI38:BR38,BV38:BX38)</f>
        <v>0</v>
      </c>
      <c r="BH38" s="231"/>
      <c r="BI38" s="231"/>
      <c r="BJ38" s="231"/>
      <c r="BK38" s="231"/>
      <c r="BL38" s="231"/>
      <c r="BM38" s="232"/>
      <c r="BN38" s="228"/>
      <c r="BO38" s="228"/>
      <c r="BP38" s="228"/>
      <c r="BQ38" s="228"/>
      <c r="BR38" s="233">
        <f t="shared" ref="BR38:BR101" si="45">SUM(BS38:BU38)</f>
        <v>0</v>
      </c>
      <c r="BS38" s="234"/>
      <c r="BT38" s="234"/>
      <c r="BU38" s="234"/>
      <c r="BV38" s="224"/>
      <c r="BW38" s="235"/>
      <c r="BX38" s="224"/>
      <c r="BY38" s="229">
        <f t="shared" si="15"/>
        <v>61409780</v>
      </c>
      <c r="BZ38" s="224">
        <f t="shared" ref="BZ38:BZ99" si="46">SUM(CA38:CB38)</f>
        <v>0</v>
      </c>
      <c r="CA38" s="224"/>
      <c r="CB38" s="224"/>
      <c r="CC38" s="221" t="s">
        <v>86</v>
      </c>
    </row>
    <row r="39" spans="1:81" ht="46.8">
      <c r="A39" s="259" t="s">
        <v>554</v>
      </c>
      <c r="B39" s="272" t="s">
        <v>616</v>
      </c>
      <c r="C39" s="222">
        <f t="shared" si="3"/>
        <v>14818323.609999999</v>
      </c>
      <c r="D39" s="217">
        <v>14818323.609999999</v>
      </c>
      <c r="E39" s="234"/>
      <c r="F39" s="234"/>
      <c r="G39" s="234"/>
      <c r="H39" s="234"/>
      <c r="I39" s="234"/>
      <c r="J39" s="234"/>
      <c r="K39" s="234"/>
      <c r="L39" s="234"/>
      <c r="M39" s="234"/>
      <c r="N39" s="454"/>
      <c r="O39" s="234"/>
      <c r="P39" s="224"/>
      <c r="Q39" s="225">
        <f t="shared" si="4"/>
        <v>0</v>
      </c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7">
        <f t="shared" si="42"/>
        <v>0</v>
      </c>
      <c r="BA39" s="228"/>
      <c r="BB39" s="228"/>
      <c r="BC39" s="229">
        <f t="shared" si="43"/>
        <v>0</v>
      </c>
      <c r="BD39" s="224"/>
      <c r="BE39" s="224"/>
      <c r="BF39" s="224"/>
      <c r="BG39" s="230">
        <f t="shared" si="44"/>
        <v>0</v>
      </c>
      <c r="BH39" s="231"/>
      <c r="BI39" s="231"/>
      <c r="BJ39" s="231"/>
      <c r="BK39" s="231"/>
      <c r="BL39" s="231"/>
      <c r="BM39" s="232"/>
      <c r="BN39" s="228"/>
      <c r="BO39" s="228"/>
      <c r="BP39" s="228"/>
      <c r="BQ39" s="228"/>
      <c r="BR39" s="233">
        <f t="shared" si="45"/>
        <v>0</v>
      </c>
      <c r="BS39" s="234"/>
      <c r="BT39" s="234"/>
      <c r="BU39" s="234"/>
      <c r="BV39" s="224"/>
      <c r="BW39" s="235"/>
      <c r="BX39" s="224"/>
      <c r="BY39" s="229">
        <f t="shared" si="15"/>
        <v>14818323.609999999</v>
      </c>
      <c r="BZ39" s="224">
        <f t="shared" si="46"/>
        <v>0</v>
      </c>
      <c r="CA39" s="224"/>
      <c r="CB39" s="224"/>
      <c r="CC39" s="221" t="s">
        <v>86</v>
      </c>
    </row>
    <row r="40" spans="1:81" ht="46.8">
      <c r="A40" s="259" t="s">
        <v>555</v>
      </c>
      <c r="B40" s="272" t="s">
        <v>617</v>
      </c>
      <c r="C40" s="222">
        <f t="shared" si="3"/>
        <v>33045622.460000001</v>
      </c>
      <c r="D40" s="217">
        <f>32877174.46+168448</f>
        <v>33045622.460000001</v>
      </c>
      <c r="E40" s="453"/>
      <c r="F40" s="234"/>
      <c r="G40" s="234"/>
      <c r="H40" s="234"/>
      <c r="I40" s="234"/>
      <c r="J40" s="234"/>
      <c r="K40" s="234"/>
      <c r="L40" s="234"/>
      <c r="M40" s="234"/>
      <c r="N40" s="454"/>
      <c r="O40" s="234"/>
      <c r="P40" s="224"/>
      <c r="Q40" s="225">
        <f t="shared" si="4"/>
        <v>0</v>
      </c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7">
        <f t="shared" si="42"/>
        <v>0</v>
      </c>
      <c r="BA40" s="228"/>
      <c r="BB40" s="228"/>
      <c r="BC40" s="229">
        <f t="shared" si="43"/>
        <v>0</v>
      </c>
      <c r="BD40" s="224"/>
      <c r="BE40" s="224"/>
      <c r="BF40" s="224"/>
      <c r="BG40" s="230">
        <f t="shared" si="44"/>
        <v>0</v>
      </c>
      <c r="BH40" s="231"/>
      <c r="BI40" s="231"/>
      <c r="BJ40" s="231"/>
      <c r="BK40" s="231"/>
      <c r="BL40" s="231"/>
      <c r="BM40" s="232"/>
      <c r="BN40" s="228"/>
      <c r="BO40" s="228"/>
      <c r="BP40" s="228"/>
      <c r="BQ40" s="228"/>
      <c r="BR40" s="233">
        <f t="shared" si="45"/>
        <v>0</v>
      </c>
      <c r="BS40" s="234"/>
      <c r="BT40" s="234"/>
      <c r="BU40" s="234"/>
      <c r="BV40" s="224"/>
      <c r="BW40" s="235"/>
      <c r="BX40" s="224"/>
      <c r="BY40" s="229">
        <f t="shared" si="15"/>
        <v>33045622.460000001</v>
      </c>
      <c r="BZ40" s="224">
        <f t="shared" si="46"/>
        <v>0</v>
      </c>
      <c r="CA40" s="224"/>
      <c r="CB40" s="224"/>
      <c r="CC40" s="221" t="s">
        <v>86</v>
      </c>
    </row>
    <row r="41" spans="1:81" ht="31.2" hidden="1">
      <c r="A41" s="259"/>
      <c r="B41" s="272" t="s">
        <v>618</v>
      </c>
      <c r="C41" s="222">
        <f t="shared" si="3"/>
        <v>0</v>
      </c>
      <c r="D41" s="234"/>
      <c r="E41" s="234"/>
      <c r="F41" s="453"/>
      <c r="G41" s="234"/>
      <c r="H41" s="234"/>
      <c r="I41" s="234"/>
      <c r="J41" s="234"/>
      <c r="K41" s="234"/>
      <c r="L41" s="234"/>
      <c r="M41" s="234"/>
      <c r="N41" s="454"/>
      <c r="O41" s="234"/>
      <c r="P41" s="224"/>
      <c r="Q41" s="225">
        <f t="shared" si="4"/>
        <v>0</v>
      </c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7">
        <f t="shared" si="42"/>
        <v>0</v>
      </c>
      <c r="BA41" s="228"/>
      <c r="BB41" s="228"/>
      <c r="BC41" s="229">
        <f t="shared" si="43"/>
        <v>0</v>
      </c>
      <c r="BD41" s="224"/>
      <c r="BE41" s="224"/>
      <c r="BF41" s="224"/>
      <c r="BG41" s="230">
        <f t="shared" si="44"/>
        <v>0</v>
      </c>
      <c r="BH41" s="231"/>
      <c r="BI41" s="231"/>
      <c r="BJ41" s="231"/>
      <c r="BK41" s="231"/>
      <c r="BL41" s="231"/>
      <c r="BM41" s="232"/>
      <c r="BN41" s="228"/>
      <c r="BO41" s="228"/>
      <c r="BP41" s="228"/>
      <c r="BQ41" s="228"/>
      <c r="BR41" s="233">
        <f t="shared" si="45"/>
        <v>0</v>
      </c>
      <c r="BS41" s="234"/>
      <c r="BT41" s="234"/>
      <c r="BU41" s="234"/>
      <c r="BV41" s="224"/>
      <c r="BW41" s="235"/>
      <c r="BX41" s="224"/>
      <c r="BY41" s="229">
        <f t="shared" si="15"/>
        <v>0</v>
      </c>
      <c r="BZ41" s="224">
        <f t="shared" si="46"/>
        <v>0</v>
      </c>
      <c r="CA41" s="224"/>
      <c r="CB41" s="224"/>
      <c r="CC41" s="221" t="s">
        <v>86</v>
      </c>
    </row>
    <row r="42" spans="1:81" ht="31.2" hidden="1">
      <c r="A42" s="259"/>
      <c r="B42" s="272" t="s">
        <v>619</v>
      </c>
      <c r="C42" s="222">
        <f t="shared" si="3"/>
        <v>0</v>
      </c>
      <c r="D42" s="234"/>
      <c r="E42" s="234"/>
      <c r="F42" s="234"/>
      <c r="G42" s="453"/>
      <c r="H42" s="234"/>
      <c r="I42" s="234"/>
      <c r="J42" s="234"/>
      <c r="K42" s="234"/>
      <c r="L42" s="234"/>
      <c r="M42" s="234"/>
      <c r="N42" s="454"/>
      <c r="O42" s="234"/>
      <c r="P42" s="224"/>
      <c r="Q42" s="225">
        <f t="shared" si="4"/>
        <v>0</v>
      </c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7">
        <f t="shared" si="42"/>
        <v>0</v>
      </c>
      <c r="BA42" s="228"/>
      <c r="BB42" s="228"/>
      <c r="BC42" s="229">
        <f t="shared" si="43"/>
        <v>0</v>
      </c>
      <c r="BD42" s="224"/>
      <c r="BE42" s="224"/>
      <c r="BF42" s="224"/>
      <c r="BG42" s="230">
        <f t="shared" si="44"/>
        <v>0</v>
      </c>
      <c r="BH42" s="231"/>
      <c r="BI42" s="231"/>
      <c r="BJ42" s="231"/>
      <c r="BK42" s="231"/>
      <c r="BL42" s="231"/>
      <c r="BM42" s="232"/>
      <c r="BN42" s="228"/>
      <c r="BO42" s="228"/>
      <c r="BP42" s="228"/>
      <c r="BQ42" s="228"/>
      <c r="BR42" s="233">
        <f t="shared" si="45"/>
        <v>0</v>
      </c>
      <c r="BS42" s="234"/>
      <c r="BT42" s="234"/>
      <c r="BU42" s="234"/>
      <c r="BV42" s="224"/>
      <c r="BW42" s="235"/>
      <c r="BX42" s="224"/>
      <c r="BY42" s="229">
        <f t="shared" si="15"/>
        <v>0</v>
      </c>
      <c r="BZ42" s="224">
        <f t="shared" si="46"/>
        <v>0</v>
      </c>
      <c r="CA42" s="224"/>
      <c r="CB42" s="224"/>
      <c r="CC42" s="221" t="s">
        <v>86</v>
      </c>
    </row>
    <row r="43" spans="1:81" ht="31.2" hidden="1">
      <c r="A43" s="259"/>
      <c r="B43" s="272" t="s">
        <v>620</v>
      </c>
      <c r="C43" s="222">
        <f t="shared" si="3"/>
        <v>0</v>
      </c>
      <c r="D43" s="234"/>
      <c r="E43" s="234"/>
      <c r="F43" s="234"/>
      <c r="G43" s="234"/>
      <c r="H43" s="453"/>
      <c r="I43" s="234"/>
      <c r="J43" s="234"/>
      <c r="K43" s="234"/>
      <c r="L43" s="234"/>
      <c r="M43" s="234"/>
      <c r="N43" s="454"/>
      <c r="O43" s="234"/>
      <c r="P43" s="224"/>
      <c r="Q43" s="225">
        <f t="shared" si="4"/>
        <v>0</v>
      </c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7">
        <f t="shared" si="42"/>
        <v>0</v>
      </c>
      <c r="BA43" s="228"/>
      <c r="BB43" s="228"/>
      <c r="BC43" s="229">
        <f t="shared" si="43"/>
        <v>0</v>
      </c>
      <c r="BD43" s="224"/>
      <c r="BE43" s="224"/>
      <c r="BF43" s="224"/>
      <c r="BG43" s="230">
        <f t="shared" si="44"/>
        <v>0</v>
      </c>
      <c r="BH43" s="231"/>
      <c r="BI43" s="231"/>
      <c r="BJ43" s="231"/>
      <c r="BK43" s="231"/>
      <c r="BL43" s="231"/>
      <c r="BM43" s="232"/>
      <c r="BN43" s="228"/>
      <c r="BO43" s="228"/>
      <c r="BP43" s="228"/>
      <c r="BQ43" s="228"/>
      <c r="BR43" s="233">
        <f t="shared" si="45"/>
        <v>0</v>
      </c>
      <c r="BS43" s="234"/>
      <c r="BT43" s="234"/>
      <c r="BU43" s="234"/>
      <c r="BV43" s="224"/>
      <c r="BW43" s="235"/>
      <c r="BX43" s="224"/>
      <c r="BY43" s="229">
        <f t="shared" si="15"/>
        <v>0</v>
      </c>
      <c r="BZ43" s="224">
        <f t="shared" si="46"/>
        <v>0</v>
      </c>
      <c r="CA43" s="224"/>
      <c r="CB43" s="224"/>
      <c r="CC43" s="221" t="s">
        <v>86</v>
      </c>
    </row>
    <row r="44" spans="1:81" ht="31.2" hidden="1">
      <c r="A44" s="259"/>
      <c r="B44" s="272" t="s">
        <v>621</v>
      </c>
      <c r="C44" s="222">
        <f t="shared" si="3"/>
        <v>0</v>
      </c>
      <c r="D44" s="234"/>
      <c r="E44" s="234"/>
      <c r="F44" s="234"/>
      <c r="G44" s="234"/>
      <c r="H44" s="234"/>
      <c r="I44" s="453"/>
      <c r="J44" s="234"/>
      <c r="K44" s="234"/>
      <c r="L44" s="234"/>
      <c r="M44" s="234"/>
      <c r="N44" s="454"/>
      <c r="O44" s="234"/>
      <c r="P44" s="224"/>
      <c r="Q44" s="225">
        <f t="shared" si="4"/>
        <v>0</v>
      </c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6"/>
      <c r="AZ44" s="227">
        <f t="shared" si="42"/>
        <v>0</v>
      </c>
      <c r="BA44" s="228"/>
      <c r="BB44" s="228"/>
      <c r="BC44" s="229">
        <f t="shared" si="43"/>
        <v>0</v>
      </c>
      <c r="BD44" s="224"/>
      <c r="BE44" s="224"/>
      <c r="BF44" s="224"/>
      <c r="BG44" s="230">
        <f t="shared" si="44"/>
        <v>0</v>
      </c>
      <c r="BH44" s="231"/>
      <c r="BI44" s="231"/>
      <c r="BJ44" s="231"/>
      <c r="BK44" s="231"/>
      <c r="BL44" s="231"/>
      <c r="BM44" s="232"/>
      <c r="BN44" s="228"/>
      <c r="BO44" s="228"/>
      <c r="BP44" s="228"/>
      <c r="BQ44" s="228"/>
      <c r="BR44" s="233">
        <f t="shared" si="45"/>
        <v>0</v>
      </c>
      <c r="BS44" s="234"/>
      <c r="BT44" s="234"/>
      <c r="BU44" s="234"/>
      <c r="BV44" s="224"/>
      <c r="BW44" s="235"/>
      <c r="BX44" s="224"/>
      <c r="BY44" s="229">
        <f t="shared" si="15"/>
        <v>0</v>
      </c>
      <c r="BZ44" s="224">
        <f t="shared" si="46"/>
        <v>0</v>
      </c>
      <c r="CA44" s="224"/>
      <c r="CB44" s="224"/>
      <c r="CC44" s="221" t="s">
        <v>86</v>
      </c>
    </row>
    <row r="45" spans="1:81" ht="31.2" hidden="1">
      <c r="A45" s="259"/>
      <c r="B45" s="272" t="s">
        <v>622</v>
      </c>
      <c r="C45" s="222">
        <f t="shared" si="3"/>
        <v>0</v>
      </c>
      <c r="D45" s="234"/>
      <c r="E45" s="234"/>
      <c r="F45" s="234"/>
      <c r="G45" s="234"/>
      <c r="H45" s="234"/>
      <c r="I45" s="234"/>
      <c r="J45" s="453"/>
      <c r="K45" s="234"/>
      <c r="L45" s="234"/>
      <c r="M45" s="234"/>
      <c r="N45" s="454"/>
      <c r="O45" s="234"/>
      <c r="P45" s="224"/>
      <c r="Q45" s="225">
        <f t="shared" si="4"/>
        <v>0</v>
      </c>
      <c r="R45" s="226"/>
      <c r="S45" s="226"/>
      <c r="T45" s="226"/>
      <c r="U45" s="226"/>
      <c r="V45" s="226"/>
      <c r="W45" s="226"/>
      <c r="X45" s="226"/>
      <c r="Y45" s="226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6"/>
      <c r="AU45" s="226"/>
      <c r="AV45" s="226"/>
      <c r="AW45" s="226"/>
      <c r="AX45" s="226"/>
      <c r="AY45" s="226"/>
      <c r="AZ45" s="227">
        <f t="shared" si="42"/>
        <v>0</v>
      </c>
      <c r="BA45" s="228"/>
      <c r="BB45" s="228"/>
      <c r="BC45" s="229">
        <f t="shared" si="43"/>
        <v>0</v>
      </c>
      <c r="BD45" s="224"/>
      <c r="BE45" s="224"/>
      <c r="BF45" s="224"/>
      <c r="BG45" s="230">
        <f t="shared" si="44"/>
        <v>0</v>
      </c>
      <c r="BH45" s="231"/>
      <c r="BI45" s="231"/>
      <c r="BJ45" s="231"/>
      <c r="BK45" s="231"/>
      <c r="BL45" s="231"/>
      <c r="BM45" s="232"/>
      <c r="BN45" s="228"/>
      <c r="BO45" s="228"/>
      <c r="BP45" s="228"/>
      <c r="BQ45" s="228"/>
      <c r="BR45" s="233">
        <f t="shared" si="45"/>
        <v>0</v>
      </c>
      <c r="BS45" s="234"/>
      <c r="BT45" s="234"/>
      <c r="BU45" s="234"/>
      <c r="BV45" s="224"/>
      <c r="BW45" s="235"/>
      <c r="BX45" s="224"/>
      <c r="BY45" s="229">
        <f t="shared" si="15"/>
        <v>0</v>
      </c>
      <c r="BZ45" s="224">
        <f t="shared" si="46"/>
        <v>0</v>
      </c>
      <c r="CA45" s="224"/>
      <c r="CB45" s="224"/>
      <c r="CC45" s="221" t="s">
        <v>86</v>
      </c>
    </row>
    <row r="46" spans="1:81" ht="31.2" hidden="1">
      <c r="A46" s="259"/>
      <c r="B46" s="272" t="s">
        <v>623</v>
      </c>
      <c r="C46" s="222">
        <f t="shared" si="3"/>
        <v>0</v>
      </c>
      <c r="D46" s="234"/>
      <c r="E46" s="234"/>
      <c r="F46" s="234"/>
      <c r="G46" s="234"/>
      <c r="H46" s="234"/>
      <c r="I46" s="234"/>
      <c r="J46" s="234"/>
      <c r="K46" s="453"/>
      <c r="L46" s="234"/>
      <c r="M46" s="234"/>
      <c r="N46" s="454"/>
      <c r="O46" s="234"/>
      <c r="P46" s="224"/>
      <c r="Q46" s="225">
        <f t="shared" si="4"/>
        <v>0</v>
      </c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7">
        <f t="shared" si="42"/>
        <v>0</v>
      </c>
      <c r="BA46" s="228"/>
      <c r="BB46" s="228"/>
      <c r="BC46" s="229">
        <f t="shared" si="43"/>
        <v>0</v>
      </c>
      <c r="BD46" s="224"/>
      <c r="BE46" s="224"/>
      <c r="BF46" s="224"/>
      <c r="BG46" s="230">
        <f t="shared" si="44"/>
        <v>0</v>
      </c>
      <c r="BH46" s="231"/>
      <c r="BI46" s="231"/>
      <c r="BJ46" s="231"/>
      <c r="BK46" s="231"/>
      <c r="BL46" s="231"/>
      <c r="BM46" s="232"/>
      <c r="BN46" s="228"/>
      <c r="BO46" s="228"/>
      <c r="BP46" s="228"/>
      <c r="BQ46" s="228"/>
      <c r="BR46" s="233">
        <f t="shared" si="45"/>
        <v>0</v>
      </c>
      <c r="BS46" s="234"/>
      <c r="BT46" s="234"/>
      <c r="BU46" s="234"/>
      <c r="BV46" s="224"/>
      <c r="BW46" s="235"/>
      <c r="BX46" s="224"/>
      <c r="BY46" s="229">
        <f t="shared" si="15"/>
        <v>0</v>
      </c>
      <c r="BZ46" s="224">
        <f t="shared" si="46"/>
        <v>0</v>
      </c>
      <c r="CA46" s="224"/>
      <c r="CB46" s="224"/>
      <c r="CC46" s="221" t="s">
        <v>86</v>
      </c>
    </row>
    <row r="47" spans="1:81" ht="31.2" hidden="1">
      <c r="A47" s="259"/>
      <c r="B47" s="272" t="s">
        <v>624</v>
      </c>
      <c r="C47" s="222">
        <f t="shared" si="3"/>
        <v>0</v>
      </c>
      <c r="D47" s="234"/>
      <c r="E47" s="234"/>
      <c r="F47" s="234"/>
      <c r="G47" s="234"/>
      <c r="H47" s="234"/>
      <c r="I47" s="234"/>
      <c r="J47" s="234"/>
      <c r="K47" s="234"/>
      <c r="L47" s="453"/>
      <c r="M47" s="234"/>
      <c r="N47" s="454"/>
      <c r="O47" s="234"/>
      <c r="P47" s="224"/>
      <c r="Q47" s="225">
        <f t="shared" si="4"/>
        <v>0</v>
      </c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7">
        <f t="shared" si="42"/>
        <v>0</v>
      </c>
      <c r="BA47" s="228"/>
      <c r="BB47" s="228"/>
      <c r="BC47" s="229">
        <f t="shared" si="43"/>
        <v>0</v>
      </c>
      <c r="BD47" s="224"/>
      <c r="BE47" s="224"/>
      <c r="BF47" s="224"/>
      <c r="BG47" s="230">
        <f t="shared" si="44"/>
        <v>0</v>
      </c>
      <c r="BH47" s="231"/>
      <c r="BI47" s="231"/>
      <c r="BJ47" s="231"/>
      <c r="BK47" s="231"/>
      <c r="BL47" s="231"/>
      <c r="BM47" s="232"/>
      <c r="BN47" s="228"/>
      <c r="BO47" s="228"/>
      <c r="BP47" s="228"/>
      <c r="BQ47" s="228"/>
      <c r="BR47" s="233">
        <f t="shared" si="45"/>
        <v>0</v>
      </c>
      <c r="BS47" s="234"/>
      <c r="BT47" s="234"/>
      <c r="BU47" s="234"/>
      <c r="BV47" s="224"/>
      <c r="BW47" s="235"/>
      <c r="BX47" s="224"/>
      <c r="BY47" s="229">
        <f t="shared" si="15"/>
        <v>0</v>
      </c>
      <c r="BZ47" s="224">
        <f t="shared" si="46"/>
        <v>0</v>
      </c>
      <c r="CA47" s="224"/>
      <c r="CB47" s="224"/>
      <c r="CC47" s="221" t="s">
        <v>86</v>
      </c>
    </row>
    <row r="48" spans="1:81" ht="31.2" hidden="1">
      <c r="A48" s="259"/>
      <c r="B48" s="272" t="s">
        <v>625</v>
      </c>
      <c r="C48" s="222">
        <f t="shared" si="3"/>
        <v>0</v>
      </c>
      <c r="D48" s="234"/>
      <c r="E48" s="234"/>
      <c r="F48" s="234"/>
      <c r="G48" s="234"/>
      <c r="H48" s="234"/>
      <c r="I48" s="234"/>
      <c r="J48" s="234"/>
      <c r="K48" s="234"/>
      <c r="L48" s="234"/>
      <c r="M48" s="453"/>
      <c r="N48" s="454"/>
      <c r="O48" s="234"/>
      <c r="P48" s="224"/>
      <c r="Q48" s="225">
        <f t="shared" si="4"/>
        <v>0</v>
      </c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7">
        <f t="shared" si="42"/>
        <v>0</v>
      </c>
      <c r="BA48" s="228"/>
      <c r="BB48" s="228"/>
      <c r="BC48" s="229">
        <f t="shared" si="43"/>
        <v>0</v>
      </c>
      <c r="BD48" s="224"/>
      <c r="BE48" s="224"/>
      <c r="BF48" s="224"/>
      <c r="BG48" s="230">
        <f t="shared" si="44"/>
        <v>0</v>
      </c>
      <c r="BH48" s="231"/>
      <c r="BI48" s="231"/>
      <c r="BJ48" s="231"/>
      <c r="BK48" s="231"/>
      <c r="BL48" s="231"/>
      <c r="BM48" s="232"/>
      <c r="BN48" s="228"/>
      <c r="BO48" s="228"/>
      <c r="BP48" s="228"/>
      <c r="BQ48" s="228"/>
      <c r="BR48" s="233">
        <f t="shared" si="45"/>
        <v>0</v>
      </c>
      <c r="BS48" s="234"/>
      <c r="BT48" s="234"/>
      <c r="BU48" s="234"/>
      <c r="BV48" s="224"/>
      <c r="BW48" s="235"/>
      <c r="BX48" s="224"/>
      <c r="BY48" s="229">
        <f t="shared" si="15"/>
        <v>0</v>
      </c>
      <c r="BZ48" s="224">
        <f t="shared" si="46"/>
        <v>0</v>
      </c>
      <c r="CA48" s="224"/>
      <c r="CB48" s="224"/>
      <c r="CC48" s="221" t="s">
        <v>86</v>
      </c>
    </row>
    <row r="49" spans="1:81" ht="31.2">
      <c r="A49" s="259"/>
      <c r="B49" s="272" t="s">
        <v>610</v>
      </c>
      <c r="C49" s="222">
        <f t="shared" si="3"/>
        <v>7101929.3799999999</v>
      </c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454">
        <v>7101929.3799999999</v>
      </c>
      <c r="O49" s="234"/>
      <c r="P49" s="224"/>
      <c r="Q49" s="225">
        <f t="shared" si="4"/>
        <v>0</v>
      </c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7">
        <f t="shared" si="42"/>
        <v>0</v>
      </c>
      <c r="BA49" s="228"/>
      <c r="BB49" s="228"/>
      <c r="BC49" s="229">
        <f t="shared" si="43"/>
        <v>0</v>
      </c>
      <c r="BD49" s="224"/>
      <c r="BE49" s="224"/>
      <c r="BF49" s="224"/>
      <c r="BG49" s="230">
        <f t="shared" si="44"/>
        <v>0</v>
      </c>
      <c r="BH49" s="231"/>
      <c r="BI49" s="231"/>
      <c r="BJ49" s="231"/>
      <c r="BK49" s="231"/>
      <c r="BL49" s="231"/>
      <c r="BM49" s="232"/>
      <c r="BN49" s="228"/>
      <c r="BO49" s="228"/>
      <c r="BP49" s="228"/>
      <c r="BQ49" s="228"/>
      <c r="BR49" s="233">
        <f t="shared" si="45"/>
        <v>0</v>
      </c>
      <c r="BS49" s="234"/>
      <c r="BT49" s="234"/>
      <c r="BU49" s="234"/>
      <c r="BV49" s="224"/>
      <c r="BW49" s="235"/>
      <c r="BX49" s="224"/>
      <c r="BY49" s="229">
        <f t="shared" si="15"/>
        <v>7101929.3799999999</v>
      </c>
      <c r="BZ49" s="224">
        <f t="shared" si="46"/>
        <v>0</v>
      </c>
      <c r="CA49" s="224"/>
      <c r="CB49" s="224"/>
      <c r="CC49" s="221" t="s">
        <v>86</v>
      </c>
    </row>
    <row r="50" spans="1:81" ht="31.2">
      <c r="A50" s="259"/>
      <c r="B50" s="272" t="s">
        <v>611</v>
      </c>
      <c r="C50" s="222">
        <f t="shared" si="3"/>
        <v>6237611.1200000001</v>
      </c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454"/>
      <c r="O50" s="453">
        <v>6237611.1200000001</v>
      </c>
      <c r="P50" s="224"/>
      <c r="Q50" s="225">
        <f t="shared" si="4"/>
        <v>0</v>
      </c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7">
        <f t="shared" si="42"/>
        <v>0</v>
      </c>
      <c r="BA50" s="228"/>
      <c r="BB50" s="228"/>
      <c r="BC50" s="229">
        <f t="shared" si="43"/>
        <v>0</v>
      </c>
      <c r="BD50" s="224"/>
      <c r="BE50" s="224"/>
      <c r="BF50" s="224"/>
      <c r="BG50" s="230">
        <f t="shared" si="44"/>
        <v>0</v>
      </c>
      <c r="BH50" s="231"/>
      <c r="BI50" s="231"/>
      <c r="BJ50" s="231"/>
      <c r="BK50" s="231"/>
      <c r="BL50" s="231"/>
      <c r="BM50" s="232"/>
      <c r="BN50" s="228"/>
      <c r="BO50" s="228"/>
      <c r="BP50" s="228"/>
      <c r="BQ50" s="228"/>
      <c r="BR50" s="233">
        <f t="shared" si="45"/>
        <v>0</v>
      </c>
      <c r="BS50" s="234"/>
      <c r="BT50" s="234"/>
      <c r="BU50" s="234"/>
      <c r="BV50" s="224"/>
      <c r="BW50" s="235"/>
      <c r="BX50" s="224"/>
      <c r="BY50" s="229">
        <f t="shared" si="15"/>
        <v>6237611.1200000001</v>
      </c>
      <c r="BZ50" s="224">
        <f t="shared" si="46"/>
        <v>0</v>
      </c>
      <c r="CA50" s="224"/>
      <c r="CB50" s="224"/>
      <c r="CC50" s="221" t="s">
        <v>86</v>
      </c>
    </row>
    <row r="51" spans="1:81">
      <c r="A51" s="259"/>
      <c r="B51" s="272" t="s">
        <v>612</v>
      </c>
      <c r="C51" s="222">
        <f t="shared" si="3"/>
        <v>206293.43</v>
      </c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454"/>
      <c r="O51" s="234"/>
      <c r="P51" s="275">
        <v>206293.43</v>
      </c>
      <c r="Q51" s="225">
        <f t="shared" si="4"/>
        <v>0</v>
      </c>
      <c r="R51" s="226"/>
      <c r="S51" s="226"/>
      <c r="T51" s="226"/>
      <c r="U51" s="226"/>
      <c r="V51" s="226"/>
      <c r="W51" s="226"/>
      <c r="X51" s="226"/>
      <c r="Y51" s="226"/>
      <c r="Z51" s="226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226"/>
      <c r="AP51" s="226"/>
      <c r="AQ51" s="226"/>
      <c r="AR51" s="226"/>
      <c r="AS51" s="226"/>
      <c r="AT51" s="226"/>
      <c r="AU51" s="226"/>
      <c r="AV51" s="226"/>
      <c r="AW51" s="226"/>
      <c r="AX51" s="226"/>
      <c r="AY51" s="226"/>
      <c r="AZ51" s="227">
        <f t="shared" si="42"/>
        <v>0</v>
      </c>
      <c r="BA51" s="228"/>
      <c r="BB51" s="228"/>
      <c r="BC51" s="229">
        <f t="shared" si="43"/>
        <v>0</v>
      </c>
      <c r="BD51" s="224"/>
      <c r="BE51" s="224"/>
      <c r="BF51" s="224"/>
      <c r="BG51" s="230">
        <f t="shared" si="44"/>
        <v>0</v>
      </c>
      <c r="BH51" s="231"/>
      <c r="BI51" s="231"/>
      <c r="BJ51" s="231"/>
      <c r="BK51" s="231"/>
      <c r="BL51" s="231"/>
      <c r="BM51" s="232"/>
      <c r="BN51" s="228"/>
      <c r="BO51" s="228"/>
      <c r="BP51" s="228"/>
      <c r="BQ51" s="228"/>
      <c r="BR51" s="233">
        <f t="shared" si="45"/>
        <v>0</v>
      </c>
      <c r="BS51" s="234"/>
      <c r="BT51" s="234"/>
      <c r="BU51" s="234"/>
      <c r="BV51" s="224"/>
      <c r="BW51" s="235"/>
      <c r="BX51" s="224"/>
      <c r="BY51" s="229">
        <f t="shared" si="15"/>
        <v>206293.43</v>
      </c>
      <c r="BZ51" s="224">
        <f t="shared" si="46"/>
        <v>0</v>
      </c>
      <c r="CA51" s="224"/>
      <c r="CB51" s="224"/>
      <c r="CC51" s="221" t="s">
        <v>86</v>
      </c>
    </row>
    <row r="52" spans="1:81" ht="62.4">
      <c r="A52" s="259" t="s">
        <v>613</v>
      </c>
      <c r="B52" s="273" t="s">
        <v>564</v>
      </c>
      <c r="C52" s="222">
        <f t="shared" si="3"/>
        <v>0</v>
      </c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426"/>
      <c r="O52" s="223"/>
      <c r="P52" s="224"/>
      <c r="Q52" s="225">
        <f t="shared" si="4"/>
        <v>0</v>
      </c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7">
        <f t="shared" si="42"/>
        <v>0</v>
      </c>
      <c r="BA52" s="228"/>
      <c r="BB52" s="228"/>
      <c r="BC52" s="229">
        <f t="shared" si="43"/>
        <v>0</v>
      </c>
      <c r="BD52" s="233"/>
      <c r="BE52" s="233"/>
      <c r="BF52" s="233"/>
      <c r="BG52" s="230">
        <f t="shared" si="44"/>
        <v>0</v>
      </c>
      <c r="BH52" s="231"/>
      <c r="BI52" s="231"/>
      <c r="BJ52" s="231"/>
      <c r="BK52" s="231"/>
      <c r="BL52" s="231"/>
      <c r="BM52" s="232"/>
      <c r="BN52" s="228"/>
      <c r="BO52" s="228"/>
      <c r="BP52" s="228"/>
      <c r="BQ52" s="228"/>
      <c r="BR52" s="233">
        <f t="shared" si="45"/>
        <v>0</v>
      </c>
      <c r="BS52" s="234"/>
      <c r="BT52" s="234"/>
      <c r="BU52" s="234"/>
      <c r="BV52" s="224"/>
      <c r="BW52" s="235"/>
      <c r="BX52" s="224"/>
      <c r="BY52" s="229">
        <f t="shared" si="15"/>
        <v>0</v>
      </c>
      <c r="BZ52" s="224">
        <f t="shared" si="46"/>
        <v>0</v>
      </c>
      <c r="CA52" s="224"/>
      <c r="CB52" s="224"/>
      <c r="CC52" s="221" t="s">
        <v>86</v>
      </c>
    </row>
    <row r="53" spans="1:81" ht="46.8">
      <c r="A53" s="259" t="s">
        <v>565</v>
      </c>
      <c r="B53" s="273" t="s">
        <v>566</v>
      </c>
      <c r="C53" s="222">
        <f t="shared" si="3"/>
        <v>0</v>
      </c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426"/>
      <c r="O53" s="223"/>
      <c r="P53" s="224"/>
      <c r="Q53" s="225">
        <f t="shared" si="4"/>
        <v>0</v>
      </c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AU53" s="226"/>
      <c r="AV53" s="226"/>
      <c r="AW53" s="226"/>
      <c r="AX53" s="226"/>
      <c r="AY53" s="226"/>
      <c r="AZ53" s="227">
        <f t="shared" si="42"/>
        <v>0</v>
      </c>
      <c r="BA53" s="228"/>
      <c r="BB53" s="228"/>
      <c r="BC53" s="229">
        <f t="shared" si="43"/>
        <v>0</v>
      </c>
      <c r="BD53" s="224"/>
      <c r="BE53" s="224"/>
      <c r="BF53" s="224"/>
      <c r="BG53" s="230">
        <f t="shared" si="44"/>
        <v>42680600</v>
      </c>
      <c r="BH53" s="231"/>
      <c r="BI53" s="231">
        <v>40280600</v>
      </c>
      <c r="BJ53" s="231"/>
      <c r="BK53" s="231">
        <v>0</v>
      </c>
      <c r="BL53" s="231"/>
      <c r="BM53" s="232">
        <v>607000</v>
      </c>
      <c r="BN53" s="228"/>
      <c r="BO53" s="228"/>
      <c r="BP53" s="228"/>
      <c r="BQ53" s="228">
        <v>93000</v>
      </c>
      <c r="BR53" s="233">
        <f t="shared" si="45"/>
        <v>1700000</v>
      </c>
      <c r="BS53" s="234">
        <v>1350000</v>
      </c>
      <c r="BT53" s="234">
        <v>84000</v>
      </c>
      <c r="BU53" s="234">
        <v>266000</v>
      </c>
      <c r="BV53" s="224"/>
      <c r="BW53" s="235"/>
      <c r="BX53" s="224"/>
      <c r="BY53" s="229">
        <f t="shared" si="15"/>
        <v>42680600</v>
      </c>
      <c r="BZ53" s="224">
        <f t="shared" si="46"/>
        <v>0</v>
      </c>
      <c r="CA53" s="224"/>
      <c r="CB53" s="224"/>
      <c r="CC53" s="221" t="s">
        <v>86</v>
      </c>
    </row>
    <row r="54" spans="1:81" hidden="1">
      <c r="A54" s="259" t="s">
        <v>568</v>
      </c>
      <c r="B54" s="273" t="s">
        <v>567</v>
      </c>
      <c r="C54" s="222">
        <f t="shared" si="3"/>
        <v>0</v>
      </c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428"/>
      <c r="O54" s="224"/>
      <c r="P54" s="224"/>
      <c r="Q54" s="225">
        <f t="shared" si="4"/>
        <v>0</v>
      </c>
      <c r="R54" s="226">
        <f>SUM(R55:R64)</f>
        <v>0</v>
      </c>
      <c r="S54" s="226">
        <f t="shared" ref="S54:AY54" si="47">SUM(S55:S64)</f>
        <v>0</v>
      </c>
      <c r="T54" s="226">
        <f t="shared" si="47"/>
        <v>0</v>
      </c>
      <c r="U54" s="226">
        <f t="shared" si="47"/>
        <v>0</v>
      </c>
      <c r="V54" s="226">
        <f t="shared" si="47"/>
        <v>0</v>
      </c>
      <c r="W54" s="226">
        <f t="shared" si="47"/>
        <v>0</v>
      </c>
      <c r="X54" s="226">
        <f t="shared" si="47"/>
        <v>0</v>
      </c>
      <c r="Y54" s="226">
        <f t="shared" si="47"/>
        <v>0</v>
      </c>
      <c r="Z54" s="226">
        <f t="shared" si="47"/>
        <v>0</v>
      </c>
      <c r="AA54" s="226">
        <f t="shared" si="47"/>
        <v>0</v>
      </c>
      <c r="AB54" s="226">
        <f t="shared" si="47"/>
        <v>0</v>
      </c>
      <c r="AC54" s="226">
        <f t="shared" si="47"/>
        <v>0</v>
      </c>
      <c r="AD54" s="226">
        <f t="shared" si="47"/>
        <v>0</v>
      </c>
      <c r="AE54" s="226">
        <f t="shared" si="47"/>
        <v>0</v>
      </c>
      <c r="AF54" s="226">
        <f t="shared" si="47"/>
        <v>0</v>
      </c>
      <c r="AG54" s="226">
        <f t="shared" si="47"/>
        <v>0</v>
      </c>
      <c r="AH54" s="226">
        <f t="shared" si="47"/>
        <v>0</v>
      </c>
      <c r="AI54" s="226">
        <f t="shared" si="47"/>
        <v>0</v>
      </c>
      <c r="AJ54" s="226">
        <f t="shared" si="47"/>
        <v>0</v>
      </c>
      <c r="AK54" s="226">
        <f t="shared" si="47"/>
        <v>0</v>
      </c>
      <c r="AL54" s="226">
        <f t="shared" si="47"/>
        <v>0</v>
      </c>
      <c r="AM54" s="226">
        <f t="shared" si="47"/>
        <v>0</v>
      </c>
      <c r="AN54" s="226">
        <f t="shared" si="47"/>
        <v>0</v>
      </c>
      <c r="AO54" s="226">
        <f t="shared" si="47"/>
        <v>0</v>
      </c>
      <c r="AP54" s="226">
        <f t="shared" si="47"/>
        <v>0</v>
      </c>
      <c r="AQ54" s="226">
        <f t="shared" si="47"/>
        <v>0</v>
      </c>
      <c r="AR54" s="226">
        <f t="shared" si="47"/>
        <v>0</v>
      </c>
      <c r="AS54" s="226">
        <f t="shared" si="47"/>
        <v>0</v>
      </c>
      <c r="AT54" s="226">
        <f t="shared" si="47"/>
        <v>0</v>
      </c>
      <c r="AU54" s="226">
        <f t="shared" si="47"/>
        <v>0</v>
      </c>
      <c r="AV54" s="226">
        <f t="shared" si="47"/>
        <v>0</v>
      </c>
      <c r="AW54" s="226">
        <f t="shared" si="47"/>
        <v>0</v>
      </c>
      <c r="AX54" s="226">
        <f t="shared" si="47"/>
        <v>0</v>
      </c>
      <c r="AY54" s="226">
        <f t="shared" si="47"/>
        <v>0</v>
      </c>
      <c r="AZ54" s="227">
        <f t="shared" si="42"/>
        <v>0</v>
      </c>
      <c r="BA54" s="228"/>
      <c r="BB54" s="228"/>
      <c r="BC54" s="229">
        <f t="shared" si="43"/>
        <v>0</v>
      </c>
      <c r="BD54" s="224"/>
      <c r="BE54" s="224"/>
      <c r="BF54" s="224"/>
      <c r="BG54" s="230">
        <f t="shared" si="44"/>
        <v>0</v>
      </c>
      <c r="BH54" s="231"/>
      <c r="BI54" s="231"/>
      <c r="BJ54" s="231"/>
      <c r="BK54" s="231"/>
      <c r="BL54" s="231"/>
      <c r="BM54" s="232"/>
      <c r="BN54" s="228"/>
      <c r="BO54" s="228"/>
      <c r="BP54" s="228"/>
      <c r="BQ54" s="228"/>
      <c r="BR54" s="233">
        <f t="shared" si="45"/>
        <v>0</v>
      </c>
      <c r="BS54" s="234"/>
      <c r="BT54" s="234"/>
      <c r="BU54" s="234"/>
      <c r="BV54" s="224"/>
      <c r="BW54" s="235"/>
      <c r="BX54" s="224"/>
      <c r="BY54" s="229">
        <f t="shared" si="15"/>
        <v>0</v>
      </c>
      <c r="BZ54" s="224">
        <f t="shared" si="46"/>
        <v>0</v>
      </c>
      <c r="CA54" s="224"/>
      <c r="CB54" s="224"/>
      <c r="CC54" s="221" t="s">
        <v>86</v>
      </c>
    </row>
    <row r="55" spans="1:81" hidden="1">
      <c r="A55" s="259"/>
      <c r="B55" s="272" t="s">
        <v>600</v>
      </c>
      <c r="C55" s="222">
        <f t="shared" si="3"/>
        <v>0</v>
      </c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426"/>
      <c r="O55" s="223"/>
      <c r="P55" s="224"/>
      <c r="Q55" s="225">
        <f t="shared" si="4"/>
        <v>0</v>
      </c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226"/>
      <c r="AX55" s="226"/>
      <c r="AY55" s="226"/>
      <c r="AZ55" s="227">
        <f t="shared" si="42"/>
        <v>0</v>
      </c>
      <c r="BA55" s="228"/>
      <c r="BB55" s="228"/>
      <c r="BC55" s="229">
        <f t="shared" si="43"/>
        <v>0</v>
      </c>
      <c r="BD55" s="224"/>
      <c r="BE55" s="224"/>
      <c r="BF55" s="224"/>
      <c r="BG55" s="230">
        <f t="shared" si="44"/>
        <v>0</v>
      </c>
      <c r="BH55" s="231"/>
      <c r="BI55" s="231"/>
      <c r="BJ55" s="231"/>
      <c r="BK55" s="231"/>
      <c r="BL55" s="231"/>
      <c r="BM55" s="232"/>
      <c r="BN55" s="228"/>
      <c r="BO55" s="228"/>
      <c r="BP55" s="228"/>
      <c r="BQ55" s="228"/>
      <c r="BR55" s="233">
        <f t="shared" si="45"/>
        <v>0</v>
      </c>
      <c r="BS55" s="234"/>
      <c r="BT55" s="234"/>
      <c r="BU55" s="234"/>
      <c r="BV55" s="224"/>
      <c r="BW55" s="235"/>
      <c r="BX55" s="224"/>
      <c r="BY55" s="229">
        <f t="shared" si="15"/>
        <v>0</v>
      </c>
      <c r="BZ55" s="224">
        <f t="shared" si="46"/>
        <v>0</v>
      </c>
      <c r="CA55" s="224"/>
      <c r="CB55" s="224"/>
      <c r="CC55" s="221" t="s">
        <v>86</v>
      </c>
    </row>
    <row r="56" spans="1:81" hidden="1">
      <c r="A56" s="259"/>
      <c r="B56" s="272" t="s">
        <v>601</v>
      </c>
      <c r="C56" s="222">
        <f t="shared" si="3"/>
        <v>0</v>
      </c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426"/>
      <c r="O56" s="223"/>
      <c r="P56" s="224"/>
      <c r="Q56" s="225">
        <f t="shared" si="4"/>
        <v>0</v>
      </c>
      <c r="R56" s="226"/>
      <c r="S56" s="226"/>
      <c r="T56" s="226"/>
      <c r="U56" s="226"/>
      <c r="V56" s="226"/>
      <c r="W56" s="226"/>
      <c r="X56" s="226"/>
      <c r="Y56" s="226"/>
      <c r="Z56" s="226"/>
      <c r="AA56" s="226"/>
      <c r="AB56" s="226"/>
      <c r="AC56" s="226"/>
      <c r="AD56" s="226"/>
      <c r="AE56" s="226"/>
      <c r="AF56" s="226"/>
      <c r="AG56" s="226"/>
      <c r="AH56" s="226"/>
      <c r="AI56" s="226"/>
      <c r="AJ56" s="226"/>
      <c r="AK56" s="226"/>
      <c r="AL56" s="226"/>
      <c r="AM56" s="226"/>
      <c r="AN56" s="226"/>
      <c r="AO56" s="226"/>
      <c r="AP56" s="226"/>
      <c r="AQ56" s="226"/>
      <c r="AR56" s="226"/>
      <c r="AS56" s="226"/>
      <c r="AT56" s="226"/>
      <c r="AU56" s="226"/>
      <c r="AV56" s="226"/>
      <c r="AW56" s="226"/>
      <c r="AX56" s="226"/>
      <c r="AY56" s="226"/>
      <c r="AZ56" s="227">
        <f t="shared" si="42"/>
        <v>0</v>
      </c>
      <c r="BA56" s="228"/>
      <c r="BB56" s="228"/>
      <c r="BC56" s="229">
        <f t="shared" si="43"/>
        <v>0</v>
      </c>
      <c r="BD56" s="224"/>
      <c r="BE56" s="224"/>
      <c r="BF56" s="224"/>
      <c r="BG56" s="230">
        <f t="shared" si="44"/>
        <v>0</v>
      </c>
      <c r="BH56" s="231"/>
      <c r="BI56" s="231"/>
      <c r="BJ56" s="231"/>
      <c r="BK56" s="231"/>
      <c r="BL56" s="231"/>
      <c r="BM56" s="232"/>
      <c r="BN56" s="228"/>
      <c r="BO56" s="228"/>
      <c r="BP56" s="228"/>
      <c r="BQ56" s="228"/>
      <c r="BR56" s="233">
        <f t="shared" si="45"/>
        <v>0</v>
      </c>
      <c r="BS56" s="234"/>
      <c r="BT56" s="234"/>
      <c r="BU56" s="234"/>
      <c r="BV56" s="224"/>
      <c r="BW56" s="235"/>
      <c r="BX56" s="224"/>
      <c r="BY56" s="229">
        <f t="shared" si="15"/>
        <v>0</v>
      </c>
      <c r="BZ56" s="224">
        <f t="shared" si="46"/>
        <v>0</v>
      </c>
      <c r="CA56" s="224"/>
      <c r="CB56" s="224"/>
      <c r="CC56" s="221" t="s">
        <v>86</v>
      </c>
    </row>
    <row r="57" spans="1:81" hidden="1">
      <c r="A57" s="259"/>
      <c r="B57" s="272" t="s">
        <v>602</v>
      </c>
      <c r="C57" s="222">
        <f t="shared" si="3"/>
        <v>0</v>
      </c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426"/>
      <c r="O57" s="223"/>
      <c r="P57" s="224"/>
      <c r="Q57" s="225">
        <f t="shared" si="4"/>
        <v>0</v>
      </c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6"/>
      <c r="AX57" s="226"/>
      <c r="AY57" s="226"/>
      <c r="AZ57" s="227">
        <f t="shared" si="42"/>
        <v>0</v>
      </c>
      <c r="BA57" s="228"/>
      <c r="BB57" s="228"/>
      <c r="BC57" s="229">
        <f t="shared" si="43"/>
        <v>0</v>
      </c>
      <c r="BD57" s="224"/>
      <c r="BE57" s="224"/>
      <c r="BF57" s="224"/>
      <c r="BG57" s="230">
        <f t="shared" si="44"/>
        <v>0</v>
      </c>
      <c r="BH57" s="231"/>
      <c r="BI57" s="231"/>
      <c r="BJ57" s="231"/>
      <c r="BK57" s="231"/>
      <c r="BL57" s="231"/>
      <c r="BM57" s="232"/>
      <c r="BN57" s="228"/>
      <c r="BO57" s="228"/>
      <c r="BP57" s="228"/>
      <c r="BQ57" s="228"/>
      <c r="BR57" s="233">
        <f t="shared" si="45"/>
        <v>0</v>
      </c>
      <c r="BS57" s="234"/>
      <c r="BT57" s="234"/>
      <c r="BU57" s="234"/>
      <c r="BV57" s="224"/>
      <c r="BW57" s="235"/>
      <c r="BX57" s="224"/>
      <c r="BY57" s="229">
        <f t="shared" si="15"/>
        <v>0</v>
      </c>
      <c r="BZ57" s="224">
        <f t="shared" si="46"/>
        <v>0</v>
      </c>
      <c r="CA57" s="224"/>
      <c r="CB57" s="224"/>
      <c r="CC57" s="221" t="s">
        <v>86</v>
      </c>
    </row>
    <row r="58" spans="1:81" hidden="1">
      <c r="A58" s="259"/>
      <c r="B58" s="272" t="s">
        <v>603</v>
      </c>
      <c r="C58" s="222">
        <f t="shared" si="3"/>
        <v>0</v>
      </c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426"/>
      <c r="O58" s="223"/>
      <c r="P58" s="224"/>
      <c r="Q58" s="225">
        <f t="shared" si="4"/>
        <v>0</v>
      </c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26"/>
      <c r="AW58" s="226"/>
      <c r="AX58" s="226"/>
      <c r="AY58" s="226"/>
      <c r="AZ58" s="227">
        <f t="shared" si="42"/>
        <v>0</v>
      </c>
      <c r="BA58" s="228"/>
      <c r="BB58" s="228"/>
      <c r="BC58" s="229">
        <f t="shared" si="43"/>
        <v>0</v>
      </c>
      <c r="BD58" s="224"/>
      <c r="BE58" s="224"/>
      <c r="BF58" s="224"/>
      <c r="BG58" s="230">
        <f t="shared" si="44"/>
        <v>0</v>
      </c>
      <c r="BH58" s="231"/>
      <c r="BI58" s="231"/>
      <c r="BJ58" s="231"/>
      <c r="BK58" s="231"/>
      <c r="BL58" s="231"/>
      <c r="BM58" s="232"/>
      <c r="BN58" s="228"/>
      <c r="BO58" s="228"/>
      <c r="BP58" s="228"/>
      <c r="BQ58" s="228"/>
      <c r="BR58" s="233">
        <f t="shared" si="45"/>
        <v>0</v>
      </c>
      <c r="BS58" s="234"/>
      <c r="BT58" s="234"/>
      <c r="BU58" s="234"/>
      <c r="BV58" s="224"/>
      <c r="BW58" s="235"/>
      <c r="BX58" s="224"/>
      <c r="BY58" s="229">
        <f t="shared" si="15"/>
        <v>0</v>
      </c>
      <c r="BZ58" s="224">
        <f t="shared" si="46"/>
        <v>0</v>
      </c>
      <c r="CA58" s="224"/>
      <c r="CB58" s="224"/>
      <c r="CC58" s="221" t="s">
        <v>86</v>
      </c>
    </row>
    <row r="59" spans="1:81" hidden="1">
      <c r="A59" s="259"/>
      <c r="B59" s="272" t="s">
        <v>604</v>
      </c>
      <c r="C59" s="222">
        <f t="shared" si="3"/>
        <v>0</v>
      </c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426"/>
      <c r="O59" s="223"/>
      <c r="P59" s="224"/>
      <c r="Q59" s="225">
        <f t="shared" si="4"/>
        <v>0</v>
      </c>
      <c r="R59" s="226"/>
      <c r="S59" s="226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226"/>
      <c r="AX59" s="226"/>
      <c r="AY59" s="226"/>
      <c r="AZ59" s="227">
        <f t="shared" si="42"/>
        <v>0</v>
      </c>
      <c r="BA59" s="228"/>
      <c r="BB59" s="228"/>
      <c r="BC59" s="229">
        <f t="shared" si="43"/>
        <v>0</v>
      </c>
      <c r="BD59" s="224"/>
      <c r="BE59" s="224"/>
      <c r="BF59" s="224"/>
      <c r="BG59" s="230">
        <f t="shared" si="44"/>
        <v>0</v>
      </c>
      <c r="BH59" s="231"/>
      <c r="BI59" s="231"/>
      <c r="BJ59" s="231"/>
      <c r="BK59" s="231"/>
      <c r="BL59" s="231"/>
      <c r="BM59" s="232"/>
      <c r="BN59" s="228"/>
      <c r="BO59" s="228"/>
      <c r="BP59" s="228"/>
      <c r="BQ59" s="228"/>
      <c r="BR59" s="233">
        <f t="shared" si="45"/>
        <v>0</v>
      </c>
      <c r="BS59" s="234"/>
      <c r="BT59" s="234"/>
      <c r="BU59" s="234"/>
      <c r="BV59" s="224"/>
      <c r="BW59" s="235"/>
      <c r="BX59" s="224"/>
      <c r="BY59" s="229">
        <f t="shared" si="15"/>
        <v>0</v>
      </c>
      <c r="BZ59" s="224">
        <f t="shared" si="46"/>
        <v>0</v>
      </c>
      <c r="CA59" s="224"/>
      <c r="CB59" s="224"/>
      <c r="CC59" s="221" t="s">
        <v>86</v>
      </c>
    </row>
    <row r="60" spans="1:81" hidden="1">
      <c r="A60" s="259"/>
      <c r="B60" s="272" t="s">
        <v>605</v>
      </c>
      <c r="C60" s="222">
        <f t="shared" si="3"/>
        <v>0</v>
      </c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426"/>
      <c r="O60" s="223"/>
      <c r="P60" s="224"/>
      <c r="Q60" s="225">
        <f t="shared" si="4"/>
        <v>0</v>
      </c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7">
        <f t="shared" si="42"/>
        <v>0</v>
      </c>
      <c r="BA60" s="228"/>
      <c r="BB60" s="228"/>
      <c r="BC60" s="229">
        <f t="shared" si="43"/>
        <v>0</v>
      </c>
      <c r="BD60" s="224"/>
      <c r="BE60" s="224"/>
      <c r="BF60" s="224"/>
      <c r="BG60" s="230">
        <f t="shared" si="44"/>
        <v>0</v>
      </c>
      <c r="BH60" s="231"/>
      <c r="BI60" s="231"/>
      <c r="BJ60" s="231"/>
      <c r="BK60" s="231"/>
      <c r="BL60" s="231"/>
      <c r="BM60" s="232"/>
      <c r="BN60" s="228"/>
      <c r="BO60" s="228"/>
      <c r="BP60" s="228"/>
      <c r="BQ60" s="228"/>
      <c r="BR60" s="233">
        <f t="shared" si="45"/>
        <v>0</v>
      </c>
      <c r="BS60" s="234"/>
      <c r="BT60" s="234"/>
      <c r="BU60" s="234"/>
      <c r="BV60" s="224"/>
      <c r="BW60" s="235"/>
      <c r="BX60" s="224"/>
      <c r="BY60" s="229">
        <f t="shared" si="15"/>
        <v>0</v>
      </c>
      <c r="BZ60" s="224">
        <f t="shared" si="46"/>
        <v>0</v>
      </c>
      <c r="CA60" s="224"/>
      <c r="CB60" s="224"/>
      <c r="CC60" s="221" t="s">
        <v>86</v>
      </c>
    </row>
    <row r="61" spans="1:81" hidden="1">
      <c r="A61" s="259"/>
      <c r="B61" s="272" t="s">
        <v>606</v>
      </c>
      <c r="C61" s="222">
        <f t="shared" si="3"/>
        <v>0</v>
      </c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426"/>
      <c r="O61" s="223"/>
      <c r="P61" s="224"/>
      <c r="Q61" s="225">
        <f t="shared" si="4"/>
        <v>0</v>
      </c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7">
        <f t="shared" si="42"/>
        <v>0</v>
      </c>
      <c r="BA61" s="228"/>
      <c r="BB61" s="228"/>
      <c r="BC61" s="229">
        <f t="shared" si="43"/>
        <v>0</v>
      </c>
      <c r="BD61" s="224"/>
      <c r="BE61" s="224"/>
      <c r="BF61" s="224"/>
      <c r="BG61" s="230">
        <f t="shared" si="44"/>
        <v>0</v>
      </c>
      <c r="BH61" s="231"/>
      <c r="BI61" s="231"/>
      <c r="BJ61" s="231"/>
      <c r="BK61" s="231"/>
      <c r="BL61" s="231"/>
      <c r="BM61" s="232"/>
      <c r="BN61" s="228"/>
      <c r="BO61" s="228"/>
      <c r="BP61" s="228"/>
      <c r="BQ61" s="228"/>
      <c r="BR61" s="233">
        <f t="shared" si="45"/>
        <v>0</v>
      </c>
      <c r="BS61" s="234"/>
      <c r="BT61" s="234"/>
      <c r="BU61" s="234"/>
      <c r="BV61" s="224"/>
      <c r="BW61" s="235"/>
      <c r="BX61" s="224"/>
      <c r="BY61" s="229">
        <f t="shared" si="15"/>
        <v>0</v>
      </c>
      <c r="BZ61" s="224">
        <f t="shared" si="46"/>
        <v>0</v>
      </c>
      <c r="CA61" s="224"/>
      <c r="CB61" s="224"/>
      <c r="CC61" s="221" t="s">
        <v>86</v>
      </c>
    </row>
    <row r="62" spans="1:81" hidden="1">
      <c r="A62" s="259"/>
      <c r="B62" s="272" t="s">
        <v>607</v>
      </c>
      <c r="C62" s="222">
        <f t="shared" si="3"/>
        <v>0</v>
      </c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426"/>
      <c r="O62" s="223"/>
      <c r="P62" s="224"/>
      <c r="Q62" s="225">
        <f t="shared" si="4"/>
        <v>0</v>
      </c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7">
        <f t="shared" si="42"/>
        <v>0</v>
      </c>
      <c r="BA62" s="228"/>
      <c r="BB62" s="228"/>
      <c r="BC62" s="229">
        <f t="shared" si="43"/>
        <v>0</v>
      </c>
      <c r="BD62" s="224"/>
      <c r="BE62" s="224"/>
      <c r="BF62" s="224"/>
      <c r="BG62" s="230">
        <f t="shared" si="44"/>
        <v>0</v>
      </c>
      <c r="BH62" s="231"/>
      <c r="BI62" s="231"/>
      <c r="BJ62" s="231"/>
      <c r="BK62" s="231"/>
      <c r="BL62" s="231"/>
      <c r="BM62" s="232"/>
      <c r="BN62" s="228"/>
      <c r="BO62" s="228"/>
      <c r="BP62" s="228"/>
      <c r="BQ62" s="228"/>
      <c r="BR62" s="233">
        <f t="shared" si="45"/>
        <v>0</v>
      </c>
      <c r="BS62" s="234"/>
      <c r="BT62" s="234"/>
      <c r="BU62" s="234"/>
      <c r="BV62" s="224"/>
      <c r="BW62" s="235"/>
      <c r="BX62" s="224"/>
      <c r="BY62" s="229">
        <f t="shared" si="15"/>
        <v>0</v>
      </c>
      <c r="BZ62" s="224">
        <f t="shared" si="46"/>
        <v>0</v>
      </c>
      <c r="CA62" s="224"/>
      <c r="CB62" s="224"/>
      <c r="CC62" s="221" t="s">
        <v>86</v>
      </c>
    </row>
    <row r="63" spans="1:81" hidden="1">
      <c r="A63" s="259"/>
      <c r="B63" s="272" t="s">
        <v>608</v>
      </c>
      <c r="C63" s="222">
        <f t="shared" si="3"/>
        <v>0</v>
      </c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426"/>
      <c r="O63" s="223"/>
      <c r="P63" s="224"/>
      <c r="Q63" s="225">
        <f t="shared" si="4"/>
        <v>0</v>
      </c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7">
        <f t="shared" si="42"/>
        <v>0</v>
      </c>
      <c r="BA63" s="228"/>
      <c r="BB63" s="228"/>
      <c r="BC63" s="229">
        <f t="shared" si="43"/>
        <v>0</v>
      </c>
      <c r="BD63" s="224"/>
      <c r="BE63" s="224"/>
      <c r="BF63" s="224"/>
      <c r="BG63" s="230">
        <f t="shared" si="44"/>
        <v>0</v>
      </c>
      <c r="BH63" s="231"/>
      <c r="BI63" s="231"/>
      <c r="BJ63" s="231"/>
      <c r="BK63" s="231"/>
      <c r="BL63" s="231"/>
      <c r="BM63" s="232"/>
      <c r="BN63" s="228"/>
      <c r="BO63" s="228"/>
      <c r="BP63" s="228"/>
      <c r="BQ63" s="228"/>
      <c r="BR63" s="233">
        <f t="shared" si="45"/>
        <v>0</v>
      </c>
      <c r="BS63" s="234"/>
      <c r="BT63" s="234"/>
      <c r="BU63" s="234"/>
      <c r="BV63" s="224"/>
      <c r="BW63" s="235"/>
      <c r="BX63" s="224"/>
      <c r="BY63" s="229">
        <f t="shared" si="15"/>
        <v>0</v>
      </c>
      <c r="BZ63" s="224">
        <f t="shared" si="46"/>
        <v>0</v>
      </c>
      <c r="CA63" s="224"/>
      <c r="CB63" s="224"/>
      <c r="CC63" s="221" t="s">
        <v>86</v>
      </c>
    </row>
    <row r="64" spans="1:81" ht="31.2" hidden="1">
      <c r="A64" s="259"/>
      <c r="B64" s="272" t="s">
        <v>609</v>
      </c>
      <c r="C64" s="222">
        <f t="shared" si="3"/>
        <v>0</v>
      </c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426"/>
      <c r="O64" s="223"/>
      <c r="P64" s="224"/>
      <c r="Q64" s="225">
        <f t="shared" si="4"/>
        <v>0</v>
      </c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7">
        <f t="shared" si="42"/>
        <v>0</v>
      </c>
      <c r="BA64" s="228"/>
      <c r="BB64" s="228"/>
      <c r="BC64" s="229">
        <f t="shared" si="43"/>
        <v>0</v>
      </c>
      <c r="BD64" s="224"/>
      <c r="BE64" s="224"/>
      <c r="BF64" s="224"/>
      <c r="BG64" s="230">
        <f t="shared" si="44"/>
        <v>0</v>
      </c>
      <c r="BH64" s="231"/>
      <c r="BI64" s="231"/>
      <c r="BJ64" s="231"/>
      <c r="BK64" s="231"/>
      <c r="BL64" s="231"/>
      <c r="BM64" s="232"/>
      <c r="BN64" s="228"/>
      <c r="BO64" s="228"/>
      <c r="BP64" s="228"/>
      <c r="BQ64" s="228"/>
      <c r="BR64" s="233">
        <f t="shared" si="45"/>
        <v>0</v>
      </c>
      <c r="BS64" s="234"/>
      <c r="BT64" s="234"/>
      <c r="BU64" s="234"/>
      <c r="BV64" s="224"/>
      <c r="BW64" s="235"/>
      <c r="BX64" s="224"/>
      <c r="BY64" s="229">
        <f t="shared" si="15"/>
        <v>0</v>
      </c>
      <c r="BZ64" s="224">
        <f t="shared" si="46"/>
        <v>0</v>
      </c>
      <c r="CA64" s="224"/>
      <c r="CB64" s="224"/>
      <c r="CC64" s="221" t="s">
        <v>86</v>
      </c>
    </row>
    <row r="65" spans="1:81" ht="33.75" hidden="1" customHeight="1">
      <c r="A65" s="259" t="s">
        <v>569</v>
      </c>
      <c r="B65" s="273" t="s">
        <v>570</v>
      </c>
      <c r="C65" s="222">
        <f t="shared" si="3"/>
        <v>0</v>
      </c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426"/>
      <c r="O65" s="223"/>
      <c r="P65" s="224"/>
      <c r="Q65" s="225">
        <f t="shared" si="4"/>
        <v>0</v>
      </c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7">
        <f t="shared" si="42"/>
        <v>0</v>
      </c>
      <c r="BA65" s="228"/>
      <c r="BB65" s="228"/>
      <c r="BC65" s="229">
        <f t="shared" si="43"/>
        <v>0</v>
      </c>
      <c r="BD65" s="224"/>
      <c r="BE65" s="224"/>
      <c r="BF65" s="224"/>
      <c r="BG65" s="230">
        <f t="shared" si="44"/>
        <v>0</v>
      </c>
      <c r="BH65" s="231"/>
      <c r="BI65" s="231"/>
      <c r="BJ65" s="231"/>
      <c r="BK65" s="231"/>
      <c r="BL65" s="231"/>
      <c r="BM65" s="232"/>
      <c r="BN65" s="228"/>
      <c r="BO65" s="228"/>
      <c r="BP65" s="228"/>
      <c r="BQ65" s="228"/>
      <c r="BR65" s="233">
        <f t="shared" si="45"/>
        <v>0</v>
      </c>
      <c r="BS65" s="234"/>
      <c r="BT65" s="234"/>
      <c r="BU65" s="234"/>
      <c r="BV65" s="224"/>
      <c r="BW65" s="235"/>
      <c r="BX65" s="224"/>
      <c r="BY65" s="229">
        <f t="shared" si="15"/>
        <v>0</v>
      </c>
      <c r="BZ65" s="224">
        <f t="shared" si="46"/>
        <v>0</v>
      </c>
      <c r="CA65" s="224"/>
      <c r="CB65" s="224"/>
      <c r="CC65" s="221" t="s">
        <v>86</v>
      </c>
    </row>
    <row r="66" spans="1:81" ht="31.2" hidden="1">
      <c r="A66" s="259" t="s">
        <v>571</v>
      </c>
      <c r="B66" s="273" t="s">
        <v>572</v>
      </c>
      <c r="C66" s="222">
        <f t="shared" si="3"/>
        <v>0</v>
      </c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426"/>
      <c r="O66" s="223"/>
      <c r="P66" s="224"/>
      <c r="Q66" s="225">
        <f t="shared" si="4"/>
        <v>0</v>
      </c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7">
        <f t="shared" si="42"/>
        <v>0</v>
      </c>
      <c r="BA66" s="228"/>
      <c r="BB66" s="228"/>
      <c r="BC66" s="229">
        <f t="shared" si="43"/>
        <v>0</v>
      </c>
      <c r="BD66" s="224"/>
      <c r="BE66" s="224"/>
      <c r="BF66" s="224"/>
      <c r="BG66" s="230">
        <f t="shared" si="44"/>
        <v>0</v>
      </c>
      <c r="BH66" s="231"/>
      <c r="BI66" s="231"/>
      <c r="BJ66" s="231"/>
      <c r="BK66" s="231"/>
      <c r="BL66" s="231"/>
      <c r="BM66" s="232"/>
      <c r="BN66" s="228"/>
      <c r="BO66" s="228"/>
      <c r="BP66" s="228"/>
      <c r="BQ66" s="228"/>
      <c r="BR66" s="233">
        <f t="shared" si="45"/>
        <v>0</v>
      </c>
      <c r="BS66" s="234"/>
      <c r="BT66" s="234"/>
      <c r="BU66" s="234"/>
      <c r="BV66" s="224"/>
      <c r="BW66" s="235"/>
      <c r="BX66" s="224"/>
      <c r="BY66" s="229">
        <f t="shared" si="15"/>
        <v>0</v>
      </c>
      <c r="BZ66" s="224">
        <f t="shared" si="46"/>
        <v>0</v>
      </c>
      <c r="CA66" s="224"/>
      <c r="CB66" s="224"/>
      <c r="CC66" s="221" t="s">
        <v>86</v>
      </c>
    </row>
    <row r="67" spans="1:81" hidden="1">
      <c r="A67" s="259"/>
      <c r="B67" s="272"/>
      <c r="C67" s="222">
        <f t="shared" si="3"/>
        <v>0</v>
      </c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426"/>
      <c r="O67" s="223"/>
      <c r="P67" s="224"/>
      <c r="Q67" s="225">
        <f t="shared" si="4"/>
        <v>0</v>
      </c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7">
        <f t="shared" si="42"/>
        <v>0</v>
      </c>
      <c r="BA67" s="228"/>
      <c r="BB67" s="228"/>
      <c r="BC67" s="229">
        <f t="shared" si="43"/>
        <v>0</v>
      </c>
      <c r="BD67" s="224"/>
      <c r="BE67" s="224"/>
      <c r="BF67" s="224"/>
      <c r="BG67" s="230">
        <f t="shared" si="44"/>
        <v>0</v>
      </c>
      <c r="BH67" s="231"/>
      <c r="BI67" s="231"/>
      <c r="BJ67" s="231"/>
      <c r="BK67" s="231"/>
      <c r="BL67" s="231"/>
      <c r="BM67" s="232"/>
      <c r="BN67" s="228"/>
      <c r="BO67" s="228"/>
      <c r="BP67" s="228"/>
      <c r="BQ67" s="228"/>
      <c r="BR67" s="233">
        <f t="shared" si="45"/>
        <v>0</v>
      </c>
      <c r="BS67" s="234"/>
      <c r="BT67" s="234"/>
      <c r="BU67" s="234"/>
      <c r="BV67" s="224"/>
      <c r="BW67" s="235"/>
      <c r="BX67" s="224"/>
      <c r="BY67" s="229">
        <f t="shared" si="15"/>
        <v>0</v>
      </c>
      <c r="BZ67" s="224">
        <f t="shared" si="46"/>
        <v>0</v>
      </c>
      <c r="CA67" s="224"/>
      <c r="CB67" s="224"/>
      <c r="CC67" s="221" t="s">
        <v>86</v>
      </c>
    </row>
    <row r="68" spans="1:81" hidden="1">
      <c r="A68" s="259"/>
      <c r="B68" s="272"/>
      <c r="C68" s="222">
        <f t="shared" si="3"/>
        <v>0</v>
      </c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426"/>
      <c r="O68" s="223"/>
      <c r="P68" s="224"/>
      <c r="Q68" s="225">
        <f t="shared" si="4"/>
        <v>0</v>
      </c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7">
        <f t="shared" si="42"/>
        <v>0</v>
      </c>
      <c r="BA68" s="228"/>
      <c r="BB68" s="228"/>
      <c r="BC68" s="229">
        <f t="shared" si="43"/>
        <v>0</v>
      </c>
      <c r="BD68" s="224"/>
      <c r="BE68" s="224"/>
      <c r="BF68" s="224"/>
      <c r="BG68" s="230">
        <f t="shared" si="44"/>
        <v>0</v>
      </c>
      <c r="BH68" s="231"/>
      <c r="BI68" s="231"/>
      <c r="BJ68" s="231"/>
      <c r="BK68" s="231"/>
      <c r="BL68" s="231"/>
      <c r="BM68" s="232"/>
      <c r="BN68" s="228"/>
      <c r="BO68" s="228"/>
      <c r="BP68" s="228"/>
      <c r="BQ68" s="228"/>
      <c r="BR68" s="233">
        <f t="shared" si="45"/>
        <v>0</v>
      </c>
      <c r="BS68" s="234"/>
      <c r="BT68" s="234"/>
      <c r="BU68" s="234"/>
      <c r="BV68" s="224"/>
      <c r="BW68" s="235"/>
      <c r="BX68" s="224"/>
      <c r="BY68" s="229">
        <f t="shared" si="15"/>
        <v>0</v>
      </c>
      <c r="BZ68" s="224">
        <f t="shared" si="46"/>
        <v>0</v>
      </c>
      <c r="CA68" s="224"/>
      <c r="CB68" s="224"/>
      <c r="CC68" s="221" t="s">
        <v>86</v>
      </c>
    </row>
    <row r="69" spans="1:81" hidden="1">
      <c r="A69" s="259"/>
      <c r="B69" s="272"/>
      <c r="C69" s="222">
        <f t="shared" si="3"/>
        <v>0</v>
      </c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426"/>
      <c r="O69" s="223"/>
      <c r="P69" s="224"/>
      <c r="Q69" s="225">
        <f t="shared" si="4"/>
        <v>0</v>
      </c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7">
        <f t="shared" si="42"/>
        <v>0</v>
      </c>
      <c r="BA69" s="228"/>
      <c r="BB69" s="228"/>
      <c r="BC69" s="229">
        <f t="shared" si="43"/>
        <v>0</v>
      </c>
      <c r="BD69" s="224"/>
      <c r="BE69" s="224"/>
      <c r="BF69" s="224"/>
      <c r="BG69" s="230">
        <f t="shared" si="44"/>
        <v>0</v>
      </c>
      <c r="BH69" s="231"/>
      <c r="BI69" s="231"/>
      <c r="BJ69" s="231"/>
      <c r="BK69" s="231"/>
      <c r="BL69" s="231"/>
      <c r="BM69" s="232"/>
      <c r="BN69" s="228"/>
      <c r="BO69" s="228"/>
      <c r="BP69" s="228"/>
      <c r="BQ69" s="228"/>
      <c r="BR69" s="233">
        <f t="shared" si="45"/>
        <v>0</v>
      </c>
      <c r="BS69" s="234"/>
      <c r="BT69" s="234"/>
      <c r="BU69" s="234"/>
      <c r="BV69" s="224"/>
      <c r="BW69" s="235"/>
      <c r="BX69" s="224"/>
      <c r="BY69" s="229">
        <f t="shared" si="15"/>
        <v>0</v>
      </c>
      <c r="BZ69" s="224">
        <f t="shared" si="46"/>
        <v>0</v>
      </c>
      <c r="CA69" s="224"/>
      <c r="CB69" s="224"/>
      <c r="CC69" s="221" t="s">
        <v>86</v>
      </c>
    </row>
    <row r="70" spans="1:81" hidden="1">
      <c r="A70" s="259"/>
      <c r="B70" s="272"/>
      <c r="C70" s="222">
        <f t="shared" si="3"/>
        <v>0</v>
      </c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426"/>
      <c r="O70" s="223"/>
      <c r="P70" s="224"/>
      <c r="Q70" s="225">
        <f t="shared" ref="Q70" si="48">SUM(R70:AY70)</f>
        <v>0</v>
      </c>
      <c r="R70" s="226"/>
      <c r="S70" s="226"/>
      <c r="T70" s="226"/>
      <c r="U70" s="226"/>
      <c r="V70" s="226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6"/>
      <c r="AQ70" s="226"/>
      <c r="AR70" s="226"/>
      <c r="AS70" s="226"/>
      <c r="AT70" s="226"/>
      <c r="AU70" s="226"/>
      <c r="AV70" s="226"/>
      <c r="AW70" s="226"/>
      <c r="AX70" s="226"/>
      <c r="AY70" s="226"/>
      <c r="AZ70" s="227">
        <f t="shared" si="42"/>
        <v>0</v>
      </c>
      <c r="BA70" s="228"/>
      <c r="BB70" s="228"/>
      <c r="BC70" s="229">
        <f t="shared" si="43"/>
        <v>0</v>
      </c>
      <c r="BD70" s="224"/>
      <c r="BE70" s="224"/>
      <c r="BF70" s="224"/>
      <c r="BG70" s="230">
        <f t="shared" si="44"/>
        <v>0</v>
      </c>
      <c r="BH70" s="231"/>
      <c r="BI70" s="231"/>
      <c r="BJ70" s="231"/>
      <c r="BK70" s="231"/>
      <c r="BL70" s="231"/>
      <c r="BM70" s="232"/>
      <c r="BN70" s="228"/>
      <c r="BO70" s="228"/>
      <c r="BP70" s="228"/>
      <c r="BQ70" s="228"/>
      <c r="BR70" s="233">
        <f t="shared" si="45"/>
        <v>0</v>
      </c>
      <c r="BS70" s="234"/>
      <c r="BT70" s="234"/>
      <c r="BU70" s="234"/>
      <c r="BV70" s="224"/>
      <c r="BW70" s="235"/>
      <c r="BX70" s="224"/>
      <c r="BY70" s="229">
        <f t="shared" si="15"/>
        <v>0</v>
      </c>
      <c r="BZ70" s="224">
        <f t="shared" si="46"/>
        <v>0</v>
      </c>
      <c r="CA70" s="224"/>
      <c r="CB70" s="224"/>
      <c r="CC70" s="221" t="s">
        <v>86</v>
      </c>
    </row>
    <row r="71" spans="1:81" hidden="1">
      <c r="A71" s="259"/>
      <c r="B71" s="272"/>
      <c r="C71" s="222">
        <f t="shared" si="3"/>
        <v>0</v>
      </c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426"/>
      <c r="O71" s="223"/>
      <c r="P71" s="224"/>
      <c r="Q71" s="225">
        <f t="shared" si="4"/>
        <v>0</v>
      </c>
      <c r="R71" s="226"/>
      <c r="S71" s="226"/>
      <c r="T71" s="226"/>
      <c r="U71" s="226"/>
      <c r="V71" s="226"/>
      <c r="W71" s="226"/>
      <c r="X71" s="226"/>
      <c r="Y71" s="226"/>
      <c r="Z71" s="226"/>
      <c r="AA71" s="226"/>
      <c r="AB71" s="226"/>
      <c r="AC71" s="226"/>
      <c r="AD71" s="226"/>
      <c r="AE71" s="226"/>
      <c r="AF71" s="226"/>
      <c r="AG71" s="226"/>
      <c r="AH71" s="226"/>
      <c r="AI71" s="226"/>
      <c r="AJ71" s="226"/>
      <c r="AK71" s="226"/>
      <c r="AL71" s="226"/>
      <c r="AM71" s="226"/>
      <c r="AN71" s="226"/>
      <c r="AO71" s="226"/>
      <c r="AP71" s="226"/>
      <c r="AQ71" s="226"/>
      <c r="AR71" s="226"/>
      <c r="AS71" s="226"/>
      <c r="AT71" s="226"/>
      <c r="AU71" s="226"/>
      <c r="AV71" s="226"/>
      <c r="AW71" s="226"/>
      <c r="AX71" s="226"/>
      <c r="AY71" s="226"/>
      <c r="AZ71" s="227">
        <f t="shared" si="42"/>
        <v>0</v>
      </c>
      <c r="BA71" s="228"/>
      <c r="BB71" s="228"/>
      <c r="BC71" s="229">
        <f t="shared" si="43"/>
        <v>0</v>
      </c>
      <c r="BD71" s="224"/>
      <c r="BE71" s="224"/>
      <c r="BF71" s="224"/>
      <c r="BG71" s="230">
        <f t="shared" si="44"/>
        <v>0</v>
      </c>
      <c r="BH71" s="231"/>
      <c r="BI71" s="231"/>
      <c r="BJ71" s="231"/>
      <c r="BK71" s="231"/>
      <c r="BL71" s="231"/>
      <c r="BM71" s="232"/>
      <c r="BN71" s="228"/>
      <c r="BO71" s="228"/>
      <c r="BP71" s="228"/>
      <c r="BQ71" s="228"/>
      <c r="BR71" s="233">
        <f t="shared" si="45"/>
        <v>0</v>
      </c>
      <c r="BS71" s="234"/>
      <c r="BT71" s="234"/>
      <c r="BU71" s="234"/>
      <c r="BV71" s="224"/>
      <c r="BW71" s="235"/>
      <c r="BX71" s="224"/>
      <c r="BY71" s="229">
        <f t="shared" si="15"/>
        <v>0</v>
      </c>
      <c r="BZ71" s="224">
        <f t="shared" si="46"/>
        <v>0</v>
      </c>
      <c r="CA71" s="224"/>
      <c r="CB71" s="224"/>
      <c r="CC71" s="221" t="s">
        <v>86</v>
      </c>
    </row>
    <row r="72" spans="1:81" hidden="1">
      <c r="A72" s="259"/>
      <c r="B72" s="272"/>
      <c r="C72" s="222">
        <f t="shared" si="3"/>
        <v>0</v>
      </c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426"/>
      <c r="O72" s="223"/>
      <c r="P72" s="224"/>
      <c r="Q72" s="225">
        <f t="shared" si="4"/>
        <v>0</v>
      </c>
      <c r="R72" s="226"/>
      <c r="S72" s="226"/>
      <c r="T72" s="226"/>
      <c r="U72" s="226"/>
      <c r="V72" s="226"/>
      <c r="W72" s="226"/>
      <c r="X72" s="226"/>
      <c r="Y72" s="226"/>
      <c r="Z72" s="226"/>
      <c r="AA72" s="226"/>
      <c r="AB72" s="226"/>
      <c r="AC72" s="226"/>
      <c r="AD72" s="226"/>
      <c r="AE72" s="226"/>
      <c r="AF72" s="226"/>
      <c r="AG72" s="226"/>
      <c r="AH72" s="226"/>
      <c r="AI72" s="226"/>
      <c r="AJ72" s="226"/>
      <c r="AK72" s="226"/>
      <c r="AL72" s="226"/>
      <c r="AM72" s="226"/>
      <c r="AN72" s="226"/>
      <c r="AO72" s="226"/>
      <c r="AP72" s="226"/>
      <c r="AQ72" s="226"/>
      <c r="AR72" s="226"/>
      <c r="AS72" s="226"/>
      <c r="AT72" s="226"/>
      <c r="AU72" s="226"/>
      <c r="AV72" s="226"/>
      <c r="AW72" s="226"/>
      <c r="AX72" s="226"/>
      <c r="AY72" s="226"/>
      <c r="AZ72" s="227">
        <f t="shared" si="42"/>
        <v>0</v>
      </c>
      <c r="BA72" s="228"/>
      <c r="BB72" s="228"/>
      <c r="BC72" s="229">
        <f t="shared" si="43"/>
        <v>0</v>
      </c>
      <c r="BD72" s="224"/>
      <c r="BE72" s="224"/>
      <c r="BF72" s="224"/>
      <c r="BG72" s="230">
        <f t="shared" si="44"/>
        <v>0</v>
      </c>
      <c r="BH72" s="231"/>
      <c r="BI72" s="231"/>
      <c r="BJ72" s="231"/>
      <c r="BK72" s="231"/>
      <c r="BL72" s="231"/>
      <c r="BM72" s="232"/>
      <c r="BN72" s="228"/>
      <c r="BO72" s="228"/>
      <c r="BP72" s="228"/>
      <c r="BQ72" s="228"/>
      <c r="BR72" s="233">
        <f t="shared" si="45"/>
        <v>0</v>
      </c>
      <c r="BS72" s="234"/>
      <c r="BT72" s="234"/>
      <c r="BU72" s="234"/>
      <c r="BV72" s="224"/>
      <c r="BW72" s="235"/>
      <c r="BX72" s="224"/>
      <c r="BY72" s="229">
        <f t="shared" si="15"/>
        <v>0</v>
      </c>
      <c r="BZ72" s="224">
        <f t="shared" si="46"/>
        <v>0</v>
      </c>
      <c r="CA72" s="224"/>
      <c r="CB72" s="224"/>
      <c r="CC72" s="221" t="s">
        <v>86</v>
      </c>
    </row>
    <row r="73" spans="1:81" ht="18">
      <c r="A73" s="149" t="s">
        <v>573</v>
      </c>
      <c r="B73" s="271" t="s">
        <v>574</v>
      </c>
      <c r="C73" s="207">
        <f>SUM(D73:P73)</f>
        <v>61409780</v>
      </c>
      <c r="D73" s="211">
        <f>SUBTOTAL(9,D74,D103:D104,D108,D109,D110,D151)</f>
        <v>47863946.07</v>
      </c>
      <c r="E73" s="211">
        <f t="shared" ref="E73:P73" si="49">SUBTOTAL(9,E74,E103:E104,E108,E109,E110,E151)</f>
        <v>0</v>
      </c>
      <c r="F73" s="211">
        <f t="shared" si="49"/>
        <v>0</v>
      </c>
      <c r="G73" s="211">
        <f t="shared" si="49"/>
        <v>0</v>
      </c>
      <c r="H73" s="211">
        <f t="shared" si="49"/>
        <v>0</v>
      </c>
      <c r="I73" s="211">
        <f t="shared" si="49"/>
        <v>0</v>
      </c>
      <c r="J73" s="211">
        <f t="shared" si="49"/>
        <v>0</v>
      </c>
      <c r="K73" s="211">
        <f t="shared" si="49"/>
        <v>0</v>
      </c>
      <c r="L73" s="211">
        <f t="shared" si="49"/>
        <v>0</v>
      </c>
      <c r="M73" s="211">
        <f t="shared" si="49"/>
        <v>0</v>
      </c>
      <c r="N73" s="427">
        <f t="shared" si="49"/>
        <v>7101929.3799999999</v>
      </c>
      <c r="O73" s="211">
        <f t="shared" si="49"/>
        <v>6237611.1199999992</v>
      </c>
      <c r="P73" s="211">
        <f t="shared" si="49"/>
        <v>206293.43</v>
      </c>
      <c r="Q73" s="236">
        <f t="shared" si="4"/>
        <v>0</v>
      </c>
      <c r="R73" s="211">
        <f t="shared" ref="R73" si="50">SUBTOTAL(9,R74,R103:R104,R108,R109,R110,R151)</f>
        <v>0</v>
      </c>
      <c r="S73" s="211">
        <f t="shared" ref="S73" si="51">SUBTOTAL(9,S74,S103:S104,S108,S109,S110,S151)</f>
        <v>0</v>
      </c>
      <c r="T73" s="211">
        <f t="shared" ref="T73" si="52">SUBTOTAL(9,T74,T103:T104,T108,T109,T110,T151)</f>
        <v>0</v>
      </c>
      <c r="U73" s="211">
        <f t="shared" ref="U73" si="53">SUBTOTAL(9,U74,U103:U104,U108,U109,U110,U151)</f>
        <v>0</v>
      </c>
      <c r="V73" s="211">
        <f t="shared" ref="V73" si="54">SUBTOTAL(9,V74,V103:V104,V108,V109,V110,V151)</f>
        <v>0</v>
      </c>
      <c r="W73" s="211">
        <f t="shared" ref="W73" si="55">SUBTOTAL(9,W74,W103:W104,W108,W109,W110,W151)</f>
        <v>0</v>
      </c>
      <c r="X73" s="211">
        <f t="shared" ref="X73" si="56">SUBTOTAL(9,X74,X103:X104,X108,X109,X110,X151)</f>
        <v>0</v>
      </c>
      <c r="Y73" s="211">
        <f t="shared" ref="Y73" si="57">SUBTOTAL(9,Y74,Y103:Y104,Y108,Y109,Y110,Y151)</f>
        <v>0</v>
      </c>
      <c r="Z73" s="211">
        <f t="shared" ref="Z73" si="58">SUBTOTAL(9,Z74,Z103:Z104,Z108,Z109,Z110,Z151)</f>
        <v>0</v>
      </c>
      <c r="AA73" s="211">
        <f t="shared" ref="AA73" si="59">SUBTOTAL(9,AA74,AA103:AA104,AA108,AA109,AA110,AA151)</f>
        <v>0</v>
      </c>
      <c r="AB73" s="211">
        <f t="shared" ref="AB73" si="60">SUBTOTAL(9,AB74,AB103:AB104,AB108,AB109,AB110,AB151)</f>
        <v>0</v>
      </c>
      <c r="AC73" s="211">
        <f t="shared" ref="AC73" si="61">SUBTOTAL(9,AC74,AC103:AC104,AC108,AC109,AC110,AC151)</f>
        <v>0</v>
      </c>
      <c r="AD73" s="211">
        <f t="shared" ref="AD73" si="62">SUBTOTAL(9,AD74,AD103:AD104,AD108,AD109,AD110,AD151)</f>
        <v>0</v>
      </c>
      <c r="AE73" s="211">
        <f t="shared" ref="AE73" si="63">SUBTOTAL(9,AE74,AE103:AE104,AE108,AE109,AE110,AE151)</f>
        <v>0</v>
      </c>
      <c r="AF73" s="211">
        <f t="shared" ref="AF73" si="64">SUBTOTAL(9,AF74,AF103:AF104,AF108,AF109,AF110,AF151)</f>
        <v>0</v>
      </c>
      <c r="AG73" s="211">
        <f t="shared" ref="AG73" si="65">SUBTOTAL(9,AG74,AG103:AG104,AG108,AG109,AG110,AG151)</f>
        <v>0</v>
      </c>
      <c r="AH73" s="211">
        <f t="shared" ref="AH73" si="66">SUBTOTAL(9,AH74,AH103:AH104,AH108,AH109,AH110,AH151)</f>
        <v>0</v>
      </c>
      <c r="AI73" s="211">
        <f t="shared" ref="AI73" si="67">SUBTOTAL(9,AI74,AI103:AI104,AI108,AI109,AI110,AI151)</f>
        <v>0</v>
      </c>
      <c r="AJ73" s="211">
        <f t="shared" ref="AJ73" si="68">SUBTOTAL(9,AJ74,AJ103:AJ104,AJ108,AJ109,AJ110,AJ151)</f>
        <v>0</v>
      </c>
      <c r="AK73" s="211">
        <f t="shared" ref="AK73" si="69">SUBTOTAL(9,AK74,AK103:AK104,AK108,AK109,AK110,AK151)</f>
        <v>0</v>
      </c>
      <c r="AL73" s="211">
        <f t="shared" ref="AL73" si="70">SUBTOTAL(9,AL74,AL103:AL104,AL108,AL109,AL110,AL151)</f>
        <v>0</v>
      </c>
      <c r="AM73" s="211">
        <f t="shared" ref="AM73" si="71">SUBTOTAL(9,AM74,AM103:AM104,AM108,AM109,AM110,AM151)</f>
        <v>0</v>
      </c>
      <c r="AN73" s="211">
        <f t="shared" ref="AN73" si="72">SUBTOTAL(9,AN74,AN103:AN104,AN108,AN109,AN110,AN151)</f>
        <v>0</v>
      </c>
      <c r="AO73" s="211">
        <f t="shared" ref="AO73" si="73">SUBTOTAL(9,AO74,AO103:AO104,AO108,AO109,AO110,AO151)</f>
        <v>0</v>
      </c>
      <c r="AP73" s="211">
        <f t="shared" ref="AP73" si="74">SUBTOTAL(9,AP74,AP103:AP104,AP108,AP109,AP110,AP151)</f>
        <v>0</v>
      </c>
      <c r="AQ73" s="211">
        <f t="shared" ref="AQ73" si="75">SUBTOTAL(9,AQ74,AQ103:AQ104,AQ108,AQ109,AQ110,AQ151)</f>
        <v>0</v>
      </c>
      <c r="AR73" s="211">
        <f t="shared" ref="AR73" si="76">SUBTOTAL(9,AR74,AR103:AR104,AR108,AR109,AR110,AR151)</f>
        <v>0</v>
      </c>
      <c r="AS73" s="211">
        <f t="shared" ref="AS73" si="77">SUBTOTAL(9,AS74,AS103:AS104,AS108,AS109,AS110,AS151)</f>
        <v>0</v>
      </c>
      <c r="AT73" s="211">
        <f t="shared" ref="AT73" si="78">SUBTOTAL(9,AT74,AT103:AT104,AT108,AT109,AT110,AT151)</f>
        <v>0</v>
      </c>
      <c r="AU73" s="211">
        <f t="shared" ref="AU73" si="79">SUBTOTAL(9,AU74,AU103:AU104,AU108,AU109,AU110,AU151)</f>
        <v>0</v>
      </c>
      <c r="AV73" s="211">
        <f t="shared" ref="AV73" si="80">SUBTOTAL(9,AV74,AV103:AV104,AV108,AV109,AV110,AV151)</f>
        <v>0</v>
      </c>
      <c r="AW73" s="211">
        <f t="shared" ref="AW73" si="81">SUBTOTAL(9,AW74,AW103:AW104,AW108,AW109,AW110,AW151)</f>
        <v>0</v>
      </c>
      <c r="AX73" s="211">
        <f t="shared" ref="AX73" si="82">SUBTOTAL(9,AX74,AX103:AX104,AX108,AX109,AX110,AX151)</f>
        <v>0</v>
      </c>
      <c r="AY73" s="211">
        <f t="shared" ref="AY73" si="83">SUBTOTAL(9,AY74,AY103:AY104,AY108,AY109,AY110,AY151)</f>
        <v>0</v>
      </c>
      <c r="AZ73" s="211">
        <f t="shared" si="42"/>
        <v>0</v>
      </c>
      <c r="BA73" s="211">
        <f t="shared" ref="BA73" si="84">SUBTOTAL(9,BA74,BA103:BA104,BA108,BA109,BA110,BA151)</f>
        <v>0</v>
      </c>
      <c r="BB73" s="211">
        <f t="shared" ref="BB73" si="85">SUBTOTAL(9,BB74,BB103:BB104,BB108,BB109,BB110,BB151)</f>
        <v>0</v>
      </c>
      <c r="BC73" s="211">
        <f t="shared" si="43"/>
        <v>0</v>
      </c>
      <c r="BD73" s="211">
        <f t="shared" ref="BD73" si="86">SUBTOTAL(9,BD74,BD103:BD104,BD108,BD109,BD110,BD151)</f>
        <v>0</v>
      </c>
      <c r="BE73" s="211">
        <f t="shared" ref="BE73" si="87">SUBTOTAL(9,BE74,BE103:BE104,BE108,BE109,BE110,BE151)</f>
        <v>0</v>
      </c>
      <c r="BF73" s="211">
        <f t="shared" ref="BF73" si="88">SUBTOTAL(9,BF74,BF103:BF104,BF108,BF109,BF110,BF151)</f>
        <v>0</v>
      </c>
      <c r="BG73" s="213">
        <f t="shared" si="44"/>
        <v>42680600</v>
      </c>
      <c r="BH73" s="211">
        <f t="shared" ref="BH73:BI73" si="89">SUBTOTAL(9,BH74,BH103:BH104,BH108,BH109,BH110,BH151)</f>
        <v>0</v>
      </c>
      <c r="BI73" s="211">
        <f t="shared" si="89"/>
        <v>40280600</v>
      </c>
      <c r="BJ73" s="211">
        <f t="shared" ref="BJ73" si="90">SUBTOTAL(9,BJ74,BJ103:BJ104,BJ108,BJ109,BJ110,BJ151)</f>
        <v>0</v>
      </c>
      <c r="BK73" s="211">
        <f t="shared" ref="BK73" si="91">SUBTOTAL(9,BK74,BK103:BK104,BK108,BK109,BK110,BK151)</f>
        <v>0</v>
      </c>
      <c r="BL73" s="211">
        <f t="shared" ref="BL73" si="92">SUBTOTAL(9,BL74,BL103:BL104,BL108,BL109,BL110,BL151)</f>
        <v>0</v>
      </c>
      <c r="BM73" s="211">
        <f t="shared" ref="BM73" si="93">SUBTOTAL(9,BM74,BM103:BM104,BM108,BM109,BM110,BM151)</f>
        <v>607000</v>
      </c>
      <c r="BN73" s="211">
        <f t="shared" ref="BN73" si="94">SUBTOTAL(9,BN74,BN103:BN104,BN108,BN109,BN110,BN151)</f>
        <v>0</v>
      </c>
      <c r="BO73" s="211">
        <f t="shared" ref="BO73" si="95">SUBTOTAL(9,BO74,BO103:BO104,BO108,BO109,BO110,BO151)</f>
        <v>0</v>
      </c>
      <c r="BP73" s="211">
        <f t="shared" ref="BP73" si="96">SUBTOTAL(9,BP74,BP103:BP104,BP108,BP109,BP110,BP151)</f>
        <v>0</v>
      </c>
      <c r="BQ73" s="211">
        <f t="shared" ref="BQ73" si="97">SUBTOTAL(9,BQ74,BQ103:BQ104,BQ108,BQ109,BQ110,BQ151)</f>
        <v>93000</v>
      </c>
      <c r="BR73" s="216">
        <f t="shared" si="45"/>
        <v>1700000</v>
      </c>
      <c r="BS73" s="211">
        <f t="shared" ref="BS73" si="98">SUBTOTAL(9,BS74,BS103:BS104,BS108,BS109,BS110,BS151)</f>
        <v>1350000</v>
      </c>
      <c r="BT73" s="211">
        <f t="shared" ref="BT73" si="99">SUBTOTAL(9,BT74,BT103:BT104,BT108,BT109,BT110,BT151)</f>
        <v>84000</v>
      </c>
      <c r="BU73" s="211">
        <f t="shared" ref="BU73" si="100">SUBTOTAL(9,BU74,BU103:BU104,BU108,BU109,BU110,BU151)</f>
        <v>266000</v>
      </c>
      <c r="BV73" s="211">
        <f t="shared" ref="BV73" si="101">SUBTOTAL(9,BV74,BV103:BV104,BV108,BV109,BV110,BV151)</f>
        <v>0</v>
      </c>
      <c r="BW73" s="211">
        <f t="shared" ref="BW73" si="102">SUBTOTAL(9,BW74,BW103:BW104,BW108,BW109,BW110,BW151)</f>
        <v>0</v>
      </c>
      <c r="BX73" s="211">
        <f>SUBTOTAL(9,BX74,BX103:BX104,BX108:BX110,BX151)</f>
        <v>0</v>
      </c>
      <c r="BY73" s="213">
        <f t="shared" si="15"/>
        <v>104090380</v>
      </c>
      <c r="BZ73" s="211">
        <f t="shared" ref="BZ73" si="103">SUBTOTAL(9,BZ74,BZ103:BZ104,BZ108,BZ109,BZ110,BZ151)</f>
        <v>0</v>
      </c>
      <c r="CA73" s="211">
        <f t="shared" ref="CA73" si="104">SUBTOTAL(9,CA74,CA103:CA104,CA108,CA109,CA110,CA151)</f>
        <v>0</v>
      </c>
      <c r="CB73" s="211">
        <f t="shared" ref="CB73" si="105">SUBTOTAL(9,CB74,CB103:CB104,CB108,CB109,CB110,CB151)</f>
        <v>0</v>
      </c>
      <c r="CC73" s="221" t="s">
        <v>86</v>
      </c>
    </row>
    <row r="74" spans="1:81" ht="34.799999999999997">
      <c r="A74" s="267" t="s">
        <v>593</v>
      </c>
      <c r="B74" s="266" t="s">
        <v>575</v>
      </c>
      <c r="C74" s="207">
        <f>SUM(D74:P74)</f>
        <v>42910830</v>
      </c>
      <c r="D74" s="237">
        <f>SUM(D75,D102)</f>
        <v>35887237.950000003</v>
      </c>
      <c r="E74" s="237">
        <f t="shared" ref="E74:AY74" si="106">SUM(E75,E102)</f>
        <v>0</v>
      </c>
      <c r="F74" s="237">
        <f t="shared" si="106"/>
        <v>0</v>
      </c>
      <c r="G74" s="237">
        <f t="shared" si="106"/>
        <v>0</v>
      </c>
      <c r="H74" s="237">
        <f t="shared" si="106"/>
        <v>0</v>
      </c>
      <c r="I74" s="237">
        <f t="shared" si="106"/>
        <v>0</v>
      </c>
      <c r="J74" s="237">
        <f t="shared" si="106"/>
        <v>0</v>
      </c>
      <c r="K74" s="237">
        <f t="shared" si="106"/>
        <v>0</v>
      </c>
      <c r="L74" s="237">
        <f t="shared" si="106"/>
        <v>0</v>
      </c>
      <c r="M74" s="237">
        <f t="shared" si="106"/>
        <v>0</v>
      </c>
      <c r="N74" s="427">
        <f t="shared" si="106"/>
        <v>2522765.54</v>
      </c>
      <c r="O74" s="237">
        <f t="shared" si="106"/>
        <v>4500826.51</v>
      </c>
      <c r="P74" s="237">
        <f t="shared" si="106"/>
        <v>0</v>
      </c>
      <c r="Q74" s="236">
        <f t="shared" si="4"/>
        <v>0</v>
      </c>
      <c r="R74" s="237">
        <f t="shared" si="106"/>
        <v>0</v>
      </c>
      <c r="S74" s="237">
        <f t="shared" si="106"/>
        <v>0</v>
      </c>
      <c r="T74" s="237">
        <f t="shared" si="106"/>
        <v>0</v>
      </c>
      <c r="U74" s="237">
        <f t="shared" si="106"/>
        <v>0</v>
      </c>
      <c r="V74" s="237">
        <f t="shared" si="106"/>
        <v>0</v>
      </c>
      <c r="W74" s="237">
        <f t="shared" si="106"/>
        <v>0</v>
      </c>
      <c r="X74" s="237">
        <f t="shared" si="106"/>
        <v>0</v>
      </c>
      <c r="Y74" s="237">
        <f t="shared" si="106"/>
        <v>0</v>
      </c>
      <c r="Z74" s="237">
        <f t="shared" si="106"/>
        <v>0</v>
      </c>
      <c r="AA74" s="237">
        <f t="shared" si="106"/>
        <v>0</v>
      </c>
      <c r="AB74" s="237">
        <f t="shared" si="106"/>
        <v>0</v>
      </c>
      <c r="AC74" s="237">
        <f t="shared" si="106"/>
        <v>0</v>
      </c>
      <c r="AD74" s="237">
        <f t="shared" si="106"/>
        <v>0</v>
      </c>
      <c r="AE74" s="237">
        <f t="shared" si="106"/>
        <v>0</v>
      </c>
      <c r="AF74" s="237">
        <f t="shared" si="106"/>
        <v>0</v>
      </c>
      <c r="AG74" s="237">
        <f t="shared" si="106"/>
        <v>0</v>
      </c>
      <c r="AH74" s="237">
        <f t="shared" si="106"/>
        <v>0</v>
      </c>
      <c r="AI74" s="237">
        <f t="shared" si="106"/>
        <v>0</v>
      </c>
      <c r="AJ74" s="237">
        <f t="shared" si="106"/>
        <v>0</v>
      </c>
      <c r="AK74" s="237">
        <f t="shared" si="106"/>
        <v>0</v>
      </c>
      <c r="AL74" s="237">
        <f t="shared" si="106"/>
        <v>0</v>
      </c>
      <c r="AM74" s="237">
        <f t="shared" si="106"/>
        <v>0</v>
      </c>
      <c r="AN74" s="237">
        <f t="shared" si="106"/>
        <v>0</v>
      </c>
      <c r="AO74" s="237">
        <f t="shared" si="106"/>
        <v>0</v>
      </c>
      <c r="AP74" s="237">
        <f t="shared" si="106"/>
        <v>0</v>
      </c>
      <c r="AQ74" s="237">
        <f t="shared" si="106"/>
        <v>0</v>
      </c>
      <c r="AR74" s="237">
        <f t="shared" si="106"/>
        <v>0</v>
      </c>
      <c r="AS74" s="237">
        <f t="shared" si="106"/>
        <v>0</v>
      </c>
      <c r="AT74" s="237">
        <f t="shared" si="106"/>
        <v>0</v>
      </c>
      <c r="AU74" s="237">
        <f t="shared" si="106"/>
        <v>0</v>
      </c>
      <c r="AV74" s="237">
        <f t="shared" si="106"/>
        <v>0</v>
      </c>
      <c r="AW74" s="237">
        <f t="shared" si="106"/>
        <v>0</v>
      </c>
      <c r="AX74" s="237">
        <f t="shared" si="106"/>
        <v>0</v>
      </c>
      <c r="AY74" s="237">
        <f t="shared" si="106"/>
        <v>0</v>
      </c>
      <c r="AZ74" s="213">
        <f t="shared" si="42"/>
        <v>0</v>
      </c>
      <c r="BA74" s="237">
        <f t="shared" ref="BA74:BB74" si="107">SUM(BA75,BA102)</f>
        <v>0</v>
      </c>
      <c r="BB74" s="237">
        <f t="shared" si="107"/>
        <v>0</v>
      </c>
      <c r="BC74" s="213">
        <f t="shared" si="43"/>
        <v>0</v>
      </c>
      <c r="BD74" s="237">
        <f t="shared" ref="BD74:BF74" si="108">SUM(BD75,BD102)</f>
        <v>0</v>
      </c>
      <c r="BE74" s="237">
        <f t="shared" si="108"/>
        <v>0</v>
      </c>
      <c r="BF74" s="237">
        <f t="shared" si="108"/>
        <v>0</v>
      </c>
      <c r="BG74" s="213">
        <f t="shared" si="44"/>
        <v>18081328</v>
      </c>
      <c r="BH74" s="237">
        <f t="shared" ref="BH74:BX74" si="109">SUM(BH75,BH102)</f>
        <v>0</v>
      </c>
      <c r="BI74" s="237">
        <f t="shared" si="109"/>
        <v>17491678</v>
      </c>
      <c r="BJ74" s="237">
        <f t="shared" si="109"/>
        <v>0</v>
      </c>
      <c r="BK74" s="237">
        <f t="shared" si="109"/>
        <v>0</v>
      </c>
      <c r="BL74" s="237">
        <f t="shared" si="109"/>
        <v>0</v>
      </c>
      <c r="BM74" s="237">
        <f t="shared" si="109"/>
        <v>589650</v>
      </c>
      <c r="BN74" s="237">
        <f t="shared" si="109"/>
        <v>0</v>
      </c>
      <c r="BO74" s="237">
        <f t="shared" si="109"/>
        <v>0</v>
      </c>
      <c r="BP74" s="237">
        <f t="shared" si="109"/>
        <v>0</v>
      </c>
      <c r="BQ74" s="237">
        <f t="shared" si="109"/>
        <v>0</v>
      </c>
      <c r="BR74" s="216">
        <f t="shared" si="45"/>
        <v>0</v>
      </c>
      <c r="BS74" s="237">
        <f t="shared" si="109"/>
        <v>0</v>
      </c>
      <c r="BT74" s="237">
        <f t="shared" si="109"/>
        <v>0</v>
      </c>
      <c r="BU74" s="237">
        <f t="shared" si="109"/>
        <v>0</v>
      </c>
      <c r="BV74" s="237">
        <f t="shared" si="109"/>
        <v>0</v>
      </c>
      <c r="BW74" s="237">
        <f t="shared" si="109"/>
        <v>0</v>
      </c>
      <c r="BX74" s="237">
        <f t="shared" si="109"/>
        <v>0</v>
      </c>
      <c r="BY74" s="213">
        <f t="shared" si="15"/>
        <v>60992158</v>
      </c>
      <c r="BZ74" s="237">
        <f t="shared" ref="BZ74:CB74" si="110">SUM(BZ75,BZ102)</f>
        <v>0</v>
      </c>
      <c r="CA74" s="237">
        <f t="shared" si="110"/>
        <v>0</v>
      </c>
      <c r="CB74" s="237">
        <f t="shared" si="110"/>
        <v>0</v>
      </c>
      <c r="CC74" s="221" t="s">
        <v>86</v>
      </c>
    </row>
    <row r="75" spans="1:81" ht="52.2">
      <c r="A75" s="154" t="s">
        <v>358</v>
      </c>
      <c r="B75" s="155">
        <v>210</v>
      </c>
      <c r="C75" s="207">
        <f t="shared" ref="C75:C138" si="111">SUM(D75:P75)</f>
        <v>42910830</v>
      </c>
      <c r="D75" s="237">
        <f>SUM(D76,D99,D100,D101)</f>
        <v>35887237.950000003</v>
      </c>
      <c r="E75" s="237">
        <f t="shared" ref="E75:P75" si="112">SUM(E76,E99,E100,E101)</f>
        <v>0</v>
      </c>
      <c r="F75" s="237">
        <f t="shared" si="112"/>
        <v>0</v>
      </c>
      <c r="G75" s="237">
        <f t="shared" si="112"/>
        <v>0</v>
      </c>
      <c r="H75" s="237">
        <f t="shared" si="112"/>
        <v>0</v>
      </c>
      <c r="I75" s="237">
        <f t="shared" si="112"/>
        <v>0</v>
      </c>
      <c r="J75" s="237">
        <f t="shared" si="112"/>
        <v>0</v>
      </c>
      <c r="K75" s="237">
        <f t="shared" si="112"/>
        <v>0</v>
      </c>
      <c r="L75" s="237">
        <f t="shared" si="112"/>
        <v>0</v>
      </c>
      <c r="M75" s="237">
        <f t="shared" si="112"/>
        <v>0</v>
      </c>
      <c r="N75" s="427">
        <f t="shared" si="112"/>
        <v>2522765.54</v>
      </c>
      <c r="O75" s="237">
        <f t="shared" si="112"/>
        <v>4500826.51</v>
      </c>
      <c r="P75" s="237">
        <f t="shared" si="112"/>
        <v>0</v>
      </c>
      <c r="Q75" s="236">
        <f t="shared" si="4"/>
        <v>0</v>
      </c>
      <c r="R75" s="237">
        <f t="shared" ref="R75:AY75" si="113">SUM(R76,R99,R100,R101)</f>
        <v>0</v>
      </c>
      <c r="S75" s="237">
        <f t="shared" si="113"/>
        <v>0</v>
      </c>
      <c r="T75" s="237">
        <f t="shared" si="113"/>
        <v>0</v>
      </c>
      <c r="U75" s="237">
        <f t="shared" si="113"/>
        <v>0</v>
      </c>
      <c r="V75" s="237">
        <f t="shared" si="113"/>
        <v>0</v>
      </c>
      <c r="W75" s="237">
        <f t="shared" si="113"/>
        <v>0</v>
      </c>
      <c r="X75" s="237">
        <f t="shared" si="113"/>
        <v>0</v>
      </c>
      <c r="Y75" s="237">
        <f t="shared" si="113"/>
        <v>0</v>
      </c>
      <c r="Z75" s="237">
        <f t="shared" si="113"/>
        <v>0</v>
      </c>
      <c r="AA75" s="237">
        <f t="shared" si="113"/>
        <v>0</v>
      </c>
      <c r="AB75" s="237">
        <f t="shared" si="113"/>
        <v>0</v>
      </c>
      <c r="AC75" s="237">
        <f t="shared" si="113"/>
        <v>0</v>
      </c>
      <c r="AD75" s="237">
        <f t="shared" si="113"/>
        <v>0</v>
      </c>
      <c r="AE75" s="237">
        <f t="shared" si="113"/>
        <v>0</v>
      </c>
      <c r="AF75" s="237">
        <f t="shared" si="113"/>
        <v>0</v>
      </c>
      <c r="AG75" s="237">
        <f t="shared" si="113"/>
        <v>0</v>
      </c>
      <c r="AH75" s="237">
        <f t="shared" si="113"/>
        <v>0</v>
      </c>
      <c r="AI75" s="237">
        <f t="shared" si="113"/>
        <v>0</v>
      </c>
      <c r="AJ75" s="237">
        <f t="shared" si="113"/>
        <v>0</v>
      </c>
      <c r="AK75" s="237">
        <f t="shared" si="113"/>
        <v>0</v>
      </c>
      <c r="AL75" s="237">
        <f t="shared" si="113"/>
        <v>0</v>
      </c>
      <c r="AM75" s="237">
        <f t="shared" si="113"/>
        <v>0</v>
      </c>
      <c r="AN75" s="237">
        <f t="shared" si="113"/>
        <v>0</v>
      </c>
      <c r="AO75" s="237">
        <f t="shared" si="113"/>
        <v>0</v>
      </c>
      <c r="AP75" s="237">
        <f t="shared" si="113"/>
        <v>0</v>
      </c>
      <c r="AQ75" s="237">
        <f t="shared" si="113"/>
        <v>0</v>
      </c>
      <c r="AR75" s="237">
        <f t="shared" si="113"/>
        <v>0</v>
      </c>
      <c r="AS75" s="237">
        <f t="shared" si="113"/>
        <v>0</v>
      </c>
      <c r="AT75" s="237">
        <f t="shared" si="113"/>
        <v>0</v>
      </c>
      <c r="AU75" s="237">
        <f t="shared" si="113"/>
        <v>0</v>
      </c>
      <c r="AV75" s="237">
        <f t="shared" si="113"/>
        <v>0</v>
      </c>
      <c r="AW75" s="237">
        <f t="shared" si="113"/>
        <v>0</v>
      </c>
      <c r="AX75" s="237">
        <f t="shared" si="113"/>
        <v>0</v>
      </c>
      <c r="AY75" s="237">
        <f t="shared" si="113"/>
        <v>0</v>
      </c>
      <c r="AZ75" s="213">
        <f t="shared" si="42"/>
        <v>0</v>
      </c>
      <c r="BA75" s="237">
        <f>SUM(BA76,BA99,BA100,BA101)</f>
        <v>0</v>
      </c>
      <c r="BB75" s="237">
        <f>SUM(BB76,BB99,BB100,BB101)</f>
        <v>0</v>
      </c>
      <c r="BC75" s="213">
        <f t="shared" si="43"/>
        <v>0</v>
      </c>
      <c r="BD75" s="237">
        <f>SUM(BD76,BD99,BD100,BD101)</f>
        <v>0</v>
      </c>
      <c r="BE75" s="237">
        <f>SUM(BE76,BE99,BE100,BE101)</f>
        <v>0</v>
      </c>
      <c r="BF75" s="237">
        <f>SUM(BF76,BF99,BF100,BF101)</f>
        <v>0</v>
      </c>
      <c r="BG75" s="213">
        <f t="shared" si="44"/>
        <v>18081328</v>
      </c>
      <c r="BH75" s="237">
        <f t="shared" ref="BH75" si="114">SUM(BH76,BH99,BH100,BH101)</f>
        <v>0</v>
      </c>
      <c r="BI75" s="237">
        <f t="shared" ref="BI75:BQ75" si="115">SUM(BI76,BI99,BI100,BI101)</f>
        <v>17491678</v>
      </c>
      <c r="BJ75" s="237">
        <f t="shared" si="115"/>
        <v>0</v>
      </c>
      <c r="BK75" s="237">
        <f t="shared" si="115"/>
        <v>0</v>
      </c>
      <c r="BL75" s="237">
        <f t="shared" si="115"/>
        <v>0</v>
      </c>
      <c r="BM75" s="237">
        <f t="shared" si="115"/>
        <v>589650</v>
      </c>
      <c r="BN75" s="237">
        <f t="shared" si="115"/>
        <v>0</v>
      </c>
      <c r="BO75" s="237">
        <f t="shared" si="115"/>
        <v>0</v>
      </c>
      <c r="BP75" s="237">
        <f t="shared" si="115"/>
        <v>0</v>
      </c>
      <c r="BQ75" s="237">
        <f t="shared" si="115"/>
        <v>0</v>
      </c>
      <c r="BR75" s="216">
        <f t="shared" si="45"/>
        <v>0</v>
      </c>
      <c r="BS75" s="237">
        <f t="shared" ref="BS75:BX75" si="116">SUM(BS76,BS99,BS100,BS101)</f>
        <v>0</v>
      </c>
      <c r="BT75" s="237">
        <f t="shared" si="116"/>
        <v>0</v>
      </c>
      <c r="BU75" s="237">
        <f t="shared" si="116"/>
        <v>0</v>
      </c>
      <c r="BV75" s="237">
        <f t="shared" si="116"/>
        <v>0</v>
      </c>
      <c r="BW75" s="237">
        <f t="shared" si="116"/>
        <v>0</v>
      </c>
      <c r="BX75" s="237">
        <f t="shared" si="116"/>
        <v>0</v>
      </c>
      <c r="BY75" s="213">
        <f t="shared" si="15"/>
        <v>60992158</v>
      </c>
      <c r="BZ75" s="237">
        <f t="shared" si="46"/>
        <v>0</v>
      </c>
      <c r="CA75" s="237">
        <f>SUM(CA76,CA99,CA100,CA101)</f>
        <v>0</v>
      </c>
      <c r="CB75" s="237">
        <f>SUM(CB76,CB99,CB100,CB101)</f>
        <v>0</v>
      </c>
      <c r="CC75" s="221" t="s">
        <v>86</v>
      </c>
    </row>
    <row r="76" spans="1:81" ht="18">
      <c r="A76" s="156" t="s">
        <v>359</v>
      </c>
      <c r="B76" s="157" t="s">
        <v>360</v>
      </c>
      <c r="C76" s="238">
        <f t="shared" si="111"/>
        <v>32897465</v>
      </c>
      <c r="D76" s="239">
        <f>SUM(D78:D98)</f>
        <v>27503001.059999999</v>
      </c>
      <c r="E76" s="239">
        <f t="shared" ref="E76:O76" si="117">SUM(E78:E98)</f>
        <v>0</v>
      </c>
      <c r="F76" s="239">
        <f t="shared" si="117"/>
        <v>0</v>
      </c>
      <c r="G76" s="239">
        <f t="shared" si="117"/>
        <v>0</v>
      </c>
      <c r="H76" s="239">
        <f t="shared" si="117"/>
        <v>0</v>
      </c>
      <c r="I76" s="239">
        <f t="shared" si="117"/>
        <v>0</v>
      </c>
      <c r="J76" s="239">
        <f t="shared" si="117"/>
        <v>0</v>
      </c>
      <c r="K76" s="239">
        <f t="shared" si="117"/>
        <v>0</v>
      </c>
      <c r="L76" s="239">
        <f t="shared" si="117"/>
        <v>0</v>
      </c>
      <c r="M76" s="239">
        <f t="shared" si="117"/>
        <v>0</v>
      </c>
      <c r="N76" s="429">
        <f t="shared" si="117"/>
        <v>1937607.94</v>
      </c>
      <c r="O76" s="239">
        <f t="shared" si="117"/>
        <v>3456856</v>
      </c>
      <c r="P76" s="239">
        <f>SUM(P78:P98)</f>
        <v>0</v>
      </c>
      <c r="Q76" s="240">
        <f t="shared" si="4"/>
        <v>0</v>
      </c>
      <c r="R76" s="239">
        <f t="shared" ref="R76:AU76" si="118">SUM(R78:R98)</f>
        <v>0</v>
      </c>
      <c r="S76" s="239">
        <f t="shared" si="118"/>
        <v>0</v>
      </c>
      <c r="T76" s="239">
        <f t="shared" si="118"/>
        <v>0</v>
      </c>
      <c r="U76" s="239">
        <f t="shared" si="118"/>
        <v>0</v>
      </c>
      <c r="V76" s="239">
        <f t="shared" si="118"/>
        <v>0</v>
      </c>
      <c r="W76" s="239">
        <f t="shared" si="118"/>
        <v>0</v>
      </c>
      <c r="X76" s="239">
        <f t="shared" si="118"/>
        <v>0</v>
      </c>
      <c r="Y76" s="239">
        <f t="shared" si="118"/>
        <v>0</v>
      </c>
      <c r="Z76" s="239">
        <f t="shared" si="118"/>
        <v>0</v>
      </c>
      <c r="AA76" s="239">
        <f t="shared" si="118"/>
        <v>0</v>
      </c>
      <c r="AB76" s="239">
        <f t="shared" si="118"/>
        <v>0</v>
      </c>
      <c r="AC76" s="239">
        <f t="shared" si="118"/>
        <v>0</v>
      </c>
      <c r="AD76" s="239">
        <f t="shared" si="118"/>
        <v>0</v>
      </c>
      <c r="AE76" s="239">
        <f t="shared" si="118"/>
        <v>0</v>
      </c>
      <c r="AF76" s="239">
        <f t="shared" si="118"/>
        <v>0</v>
      </c>
      <c r="AG76" s="239">
        <f t="shared" si="118"/>
        <v>0</v>
      </c>
      <c r="AH76" s="239">
        <f t="shared" si="118"/>
        <v>0</v>
      </c>
      <c r="AI76" s="239">
        <f t="shared" si="118"/>
        <v>0</v>
      </c>
      <c r="AJ76" s="239">
        <f t="shared" si="118"/>
        <v>0</v>
      </c>
      <c r="AK76" s="239">
        <f t="shared" si="118"/>
        <v>0</v>
      </c>
      <c r="AL76" s="239">
        <f t="shared" si="118"/>
        <v>0</v>
      </c>
      <c r="AM76" s="239">
        <f t="shared" si="118"/>
        <v>0</v>
      </c>
      <c r="AN76" s="239">
        <f t="shared" si="118"/>
        <v>0</v>
      </c>
      <c r="AO76" s="239">
        <f t="shared" si="118"/>
        <v>0</v>
      </c>
      <c r="AP76" s="239">
        <f t="shared" si="118"/>
        <v>0</v>
      </c>
      <c r="AQ76" s="239">
        <f t="shared" si="118"/>
        <v>0</v>
      </c>
      <c r="AR76" s="239">
        <f t="shared" si="118"/>
        <v>0</v>
      </c>
      <c r="AS76" s="239">
        <f t="shared" si="118"/>
        <v>0</v>
      </c>
      <c r="AT76" s="239">
        <f t="shared" si="118"/>
        <v>0</v>
      </c>
      <c r="AU76" s="239">
        <f t="shared" si="118"/>
        <v>0</v>
      </c>
      <c r="AV76" s="239">
        <f>SUM(AV78:AV98)</f>
        <v>0</v>
      </c>
      <c r="AW76" s="239">
        <f>SUM(AW78:AW98)</f>
        <v>0</v>
      </c>
      <c r="AX76" s="239">
        <f>SUM(AX78:AX98)</f>
        <v>0</v>
      </c>
      <c r="AY76" s="239">
        <f>SUM(AY78:AY98)</f>
        <v>0</v>
      </c>
      <c r="AZ76" s="241">
        <f t="shared" si="42"/>
        <v>0</v>
      </c>
      <c r="BA76" s="239">
        <f>SUM(BA78:BA98)</f>
        <v>0</v>
      </c>
      <c r="BB76" s="239">
        <f>SUM(BB78:BB98)</f>
        <v>0</v>
      </c>
      <c r="BC76" s="241">
        <f t="shared" si="43"/>
        <v>0</v>
      </c>
      <c r="BD76" s="239">
        <f>SUM(BD78:BD98)</f>
        <v>0</v>
      </c>
      <c r="BE76" s="239">
        <f>SUM(BE78:BE98)</f>
        <v>0</v>
      </c>
      <c r="BF76" s="239">
        <f>SUM(BF78:BF98)</f>
        <v>0</v>
      </c>
      <c r="BG76" s="241">
        <f t="shared" si="44"/>
        <v>13877880.000000002</v>
      </c>
      <c r="BH76" s="239">
        <f t="shared" ref="BH76" si="119">SUM(BH78:BH98)</f>
        <v>0</v>
      </c>
      <c r="BI76" s="239">
        <f t="shared" ref="BI76:BQ76" si="120">SUM(BI78:BI98)</f>
        <v>13424999.780000001</v>
      </c>
      <c r="BJ76" s="239">
        <f t="shared" si="120"/>
        <v>0</v>
      </c>
      <c r="BK76" s="239">
        <f t="shared" si="120"/>
        <v>0</v>
      </c>
      <c r="BL76" s="239">
        <f t="shared" si="120"/>
        <v>0</v>
      </c>
      <c r="BM76" s="239">
        <f t="shared" si="120"/>
        <v>452880.22</v>
      </c>
      <c r="BN76" s="239">
        <f t="shared" si="120"/>
        <v>0</v>
      </c>
      <c r="BO76" s="239">
        <f t="shared" si="120"/>
        <v>0</v>
      </c>
      <c r="BP76" s="239">
        <f t="shared" si="120"/>
        <v>0</v>
      </c>
      <c r="BQ76" s="239">
        <f t="shared" si="120"/>
        <v>0</v>
      </c>
      <c r="BR76" s="242">
        <f t="shared" si="45"/>
        <v>0</v>
      </c>
      <c r="BS76" s="239">
        <f t="shared" ref="BS76:BX76" si="121">SUM(BS78:BS98)</f>
        <v>0</v>
      </c>
      <c r="BT76" s="239">
        <f t="shared" si="121"/>
        <v>0</v>
      </c>
      <c r="BU76" s="239">
        <f t="shared" si="121"/>
        <v>0</v>
      </c>
      <c r="BV76" s="239">
        <f t="shared" si="121"/>
        <v>0</v>
      </c>
      <c r="BW76" s="239">
        <f t="shared" si="121"/>
        <v>0</v>
      </c>
      <c r="BX76" s="239">
        <f t="shared" si="121"/>
        <v>0</v>
      </c>
      <c r="BY76" s="241">
        <f t="shared" si="15"/>
        <v>46775345</v>
      </c>
      <c r="BZ76" s="239">
        <f t="shared" si="46"/>
        <v>0</v>
      </c>
      <c r="CA76" s="239">
        <f>SUM(CA78:CA98)</f>
        <v>0</v>
      </c>
      <c r="CB76" s="239">
        <f>SUM(CB78:CB98)</f>
        <v>0</v>
      </c>
      <c r="CC76" s="221" t="s">
        <v>86</v>
      </c>
    </row>
    <row r="77" spans="1:81" ht="36">
      <c r="A77" s="158" t="s">
        <v>361</v>
      </c>
      <c r="B77" s="159"/>
      <c r="C77" s="243">
        <f t="shared" si="111"/>
        <v>0</v>
      </c>
      <c r="D77" s="244"/>
      <c r="E77" s="244"/>
      <c r="F77" s="244"/>
      <c r="G77" s="244"/>
      <c r="H77" s="244"/>
      <c r="I77" s="244"/>
      <c r="J77" s="244"/>
      <c r="K77" s="244"/>
      <c r="L77" s="244"/>
      <c r="M77" s="244"/>
      <c r="N77" s="430"/>
      <c r="O77" s="244"/>
      <c r="P77" s="244"/>
      <c r="Q77" s="245">
        <f t="shared" si="4"/>
        <v>0</v>
      </c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  <c r="AJ77" s="244"/>
      <c r="AK77" s="244"/>
      <c r="AL77" s="244"/>
      <c r="AM77" s="244"/>
      <c r="AN77" s="244"/>
      <c r="AO77" s="244"/>
      <c r="AP77" s="244"/>
      <c r="AQ77" s="244"/>
      <c r="AR77" s="244"/>
      <c r="AS77" s="244"/>
      <c r="AT77" s="244"/>
      <c r="AU77" s="244"/>
      <c r="AV77" s="244"/>
      <c r="AW77" s="244"/>
      <c r="AX77" s="244"/>
      <c r="AY77" s="244"/>
      <c r="AZ77" s="246">
        <f t="shared" si="42"/>
        <v>0</v>
      </c>
      <c r="BA77" s="244"/>
      <c r="BB77" s="244"/>
      <c r="BC77" s="246">
        <f t="shared" si="43"/>
        <v>0</v>
      </c>
      <c r="BD77" s="244"/>
      <c r="BE77" s="244"/>
      <c r="BF77" s="244"/>
      <c r="BG77" s="246">
        <f t="shared" si="44"/>
        <v>0</v>
      </c>
      <c r="BH77" s="244"/>
      <c r="BI77" s="244"/>
      <c r="BJ77" s="244"/>
      <c r="BK77" s="244"/>
      <c r="BL77" s="244"/>
      <c r="BM77" s="244"/>
      <c r="BN77" s="244"/>
      <c r="BO77" s="244"/>
      <c r="BP77" s="244"/>
      <c r="BQ77" s="244"/>
      <c r="BR77" s="247">
        <f t="shared" si="45"/>
        <v>0</v>
      </c>
      <c r="BS77" s="244"/>
      <c r="BT77" s="244"/>
      <c r="BU77" s="244"/>
      <c r="BV77" s="244"/>
      <c r="BW77" s="244"/>
      <c r="BX77" s="244"/>
      <c r="BY77" s="248">
        <f t="shared" si="15"/>
        <v>0</v>
      </c>
      <c r="BZ77" s="244">
        <f t="shared" si="46"/>
        <v>0</v>
      </c>
      <c r="CA77" s="244"/>
      <c r="CB77" s="244"/>
      <c r="CC77" s="221" t="s">
        <v>86</v>
      </c>
    </row>
    <row r="78" spans="1:81" ht="18">
      <c r="A78" s="158" t="s">
        <v>31</v>
      </c>
      <c r="B78" s="159" t="s">
        <v>32</v>
      </c>
      <c r="C78" s="243">
        <f>SUM(D78:P78)</f>
        <v>860000</v>
      </c>
      <c r="D78" s="249">
        <f>'ФОТ по ЗП-соц'!AG6*1000</f>
        <v>0</v>
      </c>
      <c r="E78" s="249">
        <f>'ФОТ по ЗП-соц'!AH6*1000</f>
        <v>0</v>
      </c>
      <c r="F78" s="249">
        <f>'ФОТ по ЗП-соц'!AI6*1000</f>
        <v>0</v>
      </c>
      <c r="G78" s="249">
        <f>'ФОТ по ЗП-соц'!AJ6*1000</f>
        <v>0</v>
      </c>
      <c r="H78" s="249">
        <f>'ФОТ по ЗП-соц'!AK6*1000</f>
        <v>0</v>
      </c>
      <c r="I78" s="249">
        <f>'ФОТ по ЗП-соц'!AL6*1000</f>
        <v>0</v>
      </c>
      <c r="J78" s="249">
        <f>'ФОТ по ЗП-соц'!AM6*1000</f>
        <v>0</v>
      </c>
      <c r="K78" s="249">
        <f>'ФОТ по ЗП-соц'!AN6*1000</f>
        <v>0</v>
      </c>
      <c r="L78" s="249">
        <f>'ФОТ по ЗП-соц'!AO6*1000</f>
        <v>0</v>
      </c>
      <c r="M78" s="249">
        <f>'ФОТ по ЗП-соц'!AP6*1000</f>
        <v>0</v>
      </c>
      <c r="N78" s="430"/>
      <c r="O78" s="278">
        <v>860000</v>
      </c>
      <c r="P78" s="249"/>
      <c r="Q78" s="245">
        <f t="shared" si="4"/>
        <v>0</v>
      </c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  <c r="AJ78" s="244"/>
      <c r="AK78" s="244"/>
      <c r="AL78" s="244"/>
      <c r="AM78" s="244"/>
      <c r="AN78" s="244"/>
      <c r="AO78" s="244"/>
      <c r="AP78" s="244"/>
      <c r="AQ78" s="244"/>
      <c r="AR78" s="244"/>
      <c r="AS78" s="244"/>
      <c r="AT78" s="244"/>
      <c r="AU78" s="244"/>
      <c r="AV78" s="244"/>
      <c r="AW78" s="244"/>
      <c r="AX78" s="244"/>
      <c r="AY78" s="244"/>
      <c r="AZ78" s="246">
        <f t="shared" si="42"/>
        <v>0</v>
      </c>
      <c r="BA78" s="244"/>
      <c r="BB78" s="244"/>
      <c r="BC78" s="246">
        <f t="shared" si="43"/>
        <v>0</v>
      </c>
      <c r="BD78" s="244"/>
      <c r="BE78" s="244"/>
      <c r="BF78" s="244"/>
      <c r="BG78" s="246">
        <f t="shared" si="44"/>
        <v>1136287.83</v>
      </c>
      <c r="BH78" s="244"/>
      <c r="BI78" s="244">
        <v>1136287.83</v>
      </c>
      <c r="BJ78" s="244"/>
      <c r="BK78" s="244"/>
      <c r="BL78" s="244"/>
      <c r="BM78" s="244"/>
      <c r="BN78" s="244"/>
      <c r="BO78" s="244"/>
      <c r="BP78" s="244"/>
      <c r="BQ78" s="244"/>
      <c r="BR78" s="247">
        <f t="shared" si="45"/>
        <v>0</v>
      </c>
      <c r="BS78" s="244"/>
      <c r="BT78" s="244"/>
      <c r="BU78" s="244"/>
      <c r="BV78" s="244"/>
      <c r="BW78" s="244"/>
      <c r="BX78" s="244"/>
      <c r="BY78" s="248">
        <f t="shared" si="15"/>
        <v>1996287.83</v>
      </c>
      <c r="BZ78" s="244">
        <f t="shared" si="46"/>
        <v>0</v>
      </c>
      <c r="CA78" s="244"/>
      <c r="CB78" s="244"/>
      <c r="CC78" s="221" t="s">
        <v>86</v>
      </c>
    </row>
    <row r="79" spans="1:81" ht="54">
      <c r="A79" s="158" t="s">
        <v>362</v>
      </c>
      <c r="B79" s="159" t="s">
        <v>34</v>
      </c>
      <c r="C79" s="243">
        <f t="shared" si="111"/>
        <v>634000</v>
      </c>
      <c r="D79" s="249">
        <f>'ФОТ по ЗП-соц'!AG7*1000</f>
        <v>0</v>
      </c>
      <c r="E79" s="249">
        <f>'ФОТ по ЗП-соц'!AH7*1000</f>
        <v>0</v>
      </c>
      <c r="F79" s="249">
        <f>'ФОТ по ЗП-соц'!AI7*1000</f>
        <v>0</v>
      </c>
      <c r="G79" s="249">
        <f>'ФОТ по ЗП-соц'!AJ7*1000</f>
        <v>0</v>
      </c>
      <c r="H79" s="249">
        <f>'ФОТ по ЗП-соц'!AK7*1000</f>
        <v>0</v>
      </c>
      <c r="I79" s="249">
        <f>'ФОТ по ЗП-соц'!AL7*1000</f>
        <v>0</v>
      </c>
      <c r="J79" s="249">
        <f>'ФОТ по ЗП-соц'!AM7*1000</f>
        <v>0</v>
      </c>
      <c r="K79" s="249">
        <f>'ФОТ по ЗП-соц'!AN7*1000</f>
        <v>0</v>
      </c>
      <c r="L79" s="249">
        <f>'ФОТ по ЗП-соц'!AO7*1000</f>
        <v>0</v>
      </c>
      <c r="M79" s="249">
        <f>'ФОТ по ЗП-соц'!AP7*1000</f>
        <v>0</v>
      </c>
      <c r="N79" s="430"/>
      <c r="O79" s="278">
        <v>634000</v>
      </c>
      <c r="P79" s="249"/>
      <c r="Q79" s="245">
        <f t="shared" si="4"/>
        <v>0</v>
      </c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  <c r="AJ79" s="244"/>
      <c r="AK79" s="244"/>
      <c r="AL79" s="244"/>
      <c r="AM79" s="244"/>
      <c r="AN79" s="244"/>
      <c r="AO79" s="244"/>
      <c r="AP79" s="244"/>
      <c r="AQ79" s="244"/>
      <c r="AR79" s="244"/>
      <c r="AS79" s="244"/>
      <c r="AT79" s="244"/>
      <c r="AU79" s="244"/>
      <c r="AV79" s="244"/>
      <c r="AW79" s="244"/>
      <c r="AX79" s="244"/>
      <c r="AY79" s="244"/>
      <c r="AZ79" s="246">
        <f t="shared" si="42"/>
        <v>0</v>
      </c>
      <c r="BA79" s="244"/>
      <c r="BB79" s="244"/>
      <c r="BC79" s="246">
        <f t="shared" si="43"/>
        <v>0</v>
      </c>
      <c r="BD79" s="244"/>
      <c r="BE79" s="244"/>
      <c r="BF79" s="244"/>
      <c r="BG79" s="246">
        <f t="shared" si="44"/>
        <v>854106.23</v>
      </c>
      <c r="BH79" s="244"/>
      <c r="BI79" s="244">
        <v>854106.23</v>
      </c>
      <c r="BJ79" s="244"/>
      <c r="BK79" s="244"/>
      <c r="BL79" s="244"/>
      <c r="BM79" s="244"/>
      <c r="BN79" s="244"/>
      <c r="BO79" s="244"/>
      <c r="BP79" s="244"/>
      <c r="BQ79" s="244"/>
      <c r="BR79" s="247">
        <f t="shared" si="45"/>
        <v>0</v>
      </c>
      <c r="BS79" s="244"/>
      <c r="BT79" s="244"/>
      <c r="BU79" s="244"/>
      <c r="BV79" s="244"/>
      <c r="BW79" s="244"/>
      <c r="BX79" s="244"/>
      <c r="BY79" s="248">
        <f t="shared" si="15"/>
        <v>1488106.23</v>
      </c>
      <c r="BZ79" s="244">
        <f t="shared" si="46"/>
        <v>0</v>
      </c>
      <c r="CA79" s="244"/>
      <c r="CB79" s="244"/>
      <c r="CC79" s="221" t="s">
        <v>86</v>
      </c>
    </row>
    <row r="80" spans="1:81" ht="90">
      <c r="A80" s="158" t="s">
        <v>36</v>
      </c>
      <c r="B80" s="159" t="s">
        <v>37</v>
      </c>
      <c r="C80" s="243">
        <f t="shared" si="111"/>
        <v>0</v>
      </c>
      <c r="D80" s="249">
        <f>'ФОТ по ЗП-соц'!AG8*1000</f>
        <v>0</v>
      </c>
      <c r="E80" s="249">
        <f>'ФОТ по ЗП-соц'!AH8*1000</f>
        <v>0</v>
      </c>
      <c r="F80" s="249">
        <f>'ФОТ по ЗП-соц'!AI8*1000</f>
        <v>0</v>
      </c>
      <c r="G80" s="249">
        <f>'ФОТ по ЗП-соц'!AJ8*1000</f>
        <v>0</v>
      </c>
      <c r="H80" s="249">
        <f>'ФОТ по ЗП-соц'!AK8*1000</f>
        <v>0</v>
      </c>
      <c r="I80" s="249">
        <f>'ФОТ по ЗП-соц'!AL8*1000</f>
        <v>0</v>
      </c>
      <c r="J80" s="249">
        <f>'ФОТ по ЗП-соц'!AM8*1000</f>
        <v>0</v>
      </c>
      <c r="K80" s="249">
        <f>'ФОТ по ЗП-соц'!AN8*1000</f>
        <v>0</v>
      </c>
      <c r="L80" s="249">
        <f>'ФОТ по ЗП-соц'!AO8*1000</f>
        <v>0</v>
      </c>
      <c r="M80" s="249">
        <f>'ФОТ по ЗП-соц'!AP8*1000</f>
        <v>0</v>
      </c>
      <c r="N80" s="430"/>
      <c r="O80" s="249">
        <f>'ФОТ по ЗП-соц'!AF8*1000</f>
        <v>0</v>
      </c>
      <c r="P80" s="249"/>
      <c r="Q80" s="245">
        <f t="shared" si="4"/>
        <v>0</v>
      </c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  <c r="AJ80" s="244"/>
      <c r="AK80" s="244"/>
      <c r="AL80" s="244"/>
      <c r="AM80" s="244"/>
      <c r="AN80" s="244"/>
      <c r="AO80" s="244"/>
      <c r="AP80" s="244"/>
      <c r="AQ80" s="244"/>
      <c r="AR80" s="244"/>
      <c r="AS80" s="244"/>
      <c r="AT80" s="244"/>
      <c r="AU80" s="244"/>
      <c r="AV80" s="244"/>
      <c r="AW80" s="244"/>
      <c r="AX80" s="244"/>
      <c r="AY80" s="244"/>
      <c r="AZ80" s="246">
        <f t="shared" si="42"/>
        <v>0</v>
      </c>
      <c r="BA80" s="244"/>
      <c r="BB80" s="244"/>
      <c r="BC80" s="246">
        <f t="shared" si="43"/>
        <v>0</v>
      </c>
      <c r="BD80" s="244"/>
      <c r="BE80" s="244"/>
      <c r="BF80" s="244"/>
      <c r="BG80" s="246">
        <f t="shared" si="44"/>
        <v>0</v>
      </c>
      <c r="BH80" s="244"/>
      <c r="BI80" s="244"/>
      <c r="BJ80" s="244"/>
      <c r="BK80" s="244"/>
      <c r="BL80" s="244"/>
      <c r="BM80" s="244"/>
      <c r="BN80" s="244"/>
      <c r="BO80" s="244"/>
      <c r="BP80" s="244"/>
      <c r="BQ80" s="244"/>
      <c r="BR80" s="247">
        <f t="shared" si="45"/>
        <v>0</v>
      </c>
      <c r="BS80" s="244"/>
      <c r="BT80" s="244"/>
      <c r="BU80" s="244"/>
      <c r="BV80" s="244"/>
      <c r="BW80" s="244"/>
      <c r="BX80" s="244"/>
      <c r="BY80" s="248">
        <f t="shared" si="15"/>
        <v>0</v>
      </c>
      <c r="BZ80" s="244">
        <f t="shared" si="46"/>
        <v>0</v>
      </c>
      <c r="CA80" s="244"/>
      <c r="CB80" s="244"/>
      <c r="CC80" s="221" t="s">
        <v>86</v>
      </c>
    </row>
    <row r="81" spans="1:81" ht="70.8" customHeight="1">
      <c r="A81" s="158" t="s">
        <v>38</v>
      </c>
      <c r="B81" s="159" t="s">
        <v>39</v>
      </c>
      <c r="C81" s="243">
        <f t="shared" si="111"/>
        <v>0</v>
      </c>
      <c r="D81" s="249">
        <f>'ФОТ по ЗП-соц'!AG9*1000</f>
        <v>0</v>
      </c>
      <c r="E81" s="249">
        <f>'ФОТ по ЗП-соц'!AH9*1000</f>
        <v>0</v>
      </c>
      <c r="F81" s="249">
        <f>'ФОТ по ЗП-соц'!AI9*1000</f>
        <v>0</v>
      </c>
      <c r="G81" s="249">
        <f>'ФОТ по ЗП-соц'!AJ9*1000</f>
        <v>0</v>
      </c>
      <c r="H81" s="249">
        <f>'ФОТ по ЗП-соц'!AK9*1000</f>
        <v>0</v>
      </c>
      <c r="I81" s="249">
        <f>'ФОТ по ЗП-соц'!AL9*1000</f>
        <v>0</v>
      </c>
      <c r="J81" s="249">
        <f>'ФОТ по ЗП-соц'!AM9*1000</f>
        <v>0</v>
      </c>
      <c r="K81" s="249">
        <f>'ФОТ по ЗП-соц'!AN9*1000</f>
        <v>0</v>
      </c>
      <c r="L81" s="249">
        <f>'ФОТ по ЗП-соц'!AO9*1000</f>
        <v>0</v>
      </c>
      <c r="M81" s="249">
        <f>'ФОТ по ЗП-соц'!AP9*1000</f>
        <v>0</v>
      </c>
      <c r="N81" s="430"/>
      <c r="O81" s="249">
        <f>'ФОТ по ЗП-соц'!AF9*1000</f>
        <v>0</v>
      </c>
      <c r="P81" s="249"/>
      <c r="Q81" s="245">
        <f t="shared" si="4"/>
        <v>0</v>
      </c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  <c r="AJ81" s="244"/>
      <c r="AK81" s="244"/>
      <c r="AL81" s="244"/>
      <c r="AM81" s="244"/>
      <c r="AN81" s="244"/>
      <c r="AO81" s="244"/>
      <c r="AP81" s="244"/>
      <c r="AQ81" s="244"/>
      <c r="AR81" s="244"/>
      <c r="AS81" s="244"/>
      <c r="AT81" s="244"/>
      <c r="AU81" s="244"/>
      <c r="AV81" s="244"/>
      <c r="AW81" s="244"/>
      <c r="AX81" s="244"/>
      <c r="AY81" s="244"/>
      <c r="AZ81" s="246">
        <f t="shared" si="42"/>
        <v>0</v>
      </c>
      <c r="BA81" s="244"/>
      <c r="BB81" s="244"/>
      <c r="BC81" s="246">
        <f t="shared" si="43"/>
        <v>0</v>
      </c>
      <c r="BD81" s="244"/>
      <c r="BE81" s="244"/>
      <c r="BF81" s="244"/>
      <c r="BG81" s="246">
        <f t="shared" si="44"/>
        <v>0</v>
      </c>
      <c r="BH81" s="244"/>
      <c r="BI81" s="244"/>
      <c r="BJ81" s="244"/>
      <c r="BK81" s="244"/>
      <c r="BL81" s="244"/>
      <c r="BM81" s="244"/>
      <c r="BN81" s="244"/>
      <c r="BO81" s="244"/>
      <c r="BP81" s="244"/>
      <c r="BQ81" s="244"/>
      <c r="BR81" s="247">
        <f t="shared" si="45"/>
        <v>0</v>
      </c>
      <c r="BS81" s="244"/>
      <c r="BT81" s="244"/>
      <c r="BU81" s="244"/>
      <c r="BV81" s="244"/>
      <c r="BW81" s="244"/>
      <c r="BX81" s="244"/>
      <c r="BY81" s="248">
        <f t="shared" si="15"/>
        <v>0</v>
      </c>
      <c r="BZ81" s="244">
        <f t="shared" si="46"/>
        <v>0</v>
      </c>
      <c r="CA81" s="244"/>
      <c r="CB81" s="244"/>
      <c r="CC81" s="221" t="s">
        <v>86</v>
      </c>
    </row>
    <row r="82" spans="1:81" ht="18">
      <c r="A82" s="158" t="s">
        <v>42</v>
      </c>
      <c r="B82" s="159" t="s">
        <v>43</v>
      </c>
      <c r="C82" s="243">
        <f t="shared" si="111"/>
        <v>701800.47</v>
      </c>
      <c r="D82" s="249">
        <v>701800.47</v>
      </c>
      <c r="E82" s="249">
        <f>'ФОТ по ЗП-соц'!AH10*1000</f>
        <v>0</v>
      </c>
      <c r="F82" s="249">
        <f>'ФОТ по ЗП-соц'!AI10*1000</f>
        <v>0</v>
      </c>
      <c r="G82" s="249">
        <f>'ФОТ по ЗП-соц'!AJ10*1000</f>
        <v>0</v>
      </c>
      <c r="H82" s="249">
        <f>'ФОТ по ЗП-соц'!AK10*1000</f>
        <v>0</v>
      </c>
      <c r="I82" s="249">
        <f>'ФОТ по ЗП-соц'!AL10*1000</f>
        <v>0</v>
      </c>
      <c r="J82" s="249">
        <f>'ФОТ по ЗП-соц'!AM10*1000</f>
        <v>0</v>
      </c>
      <c r="K82" s="249">
        <f>'ФОТ по ЗП-соц'!AN10*1000</f>
        <v>0</v>
      </c>
      <c r="L82" s="249">
        <f>'ФОТ по ЗП-соц'!AO10*1000</f>
        <v>0</v>
      </c>
      <c r="M82" s="249">
        <f>'ФОТ по ЗП-соц'!AP10*1000</f>
        <v>0</v>
      </c>
      <c r="N82" s="430"/>
      <c r="O82" s="249">
        <f>'ФОТ по ЗП-соц'!AF10*1000</f>
        <v>0</v>
      </c>
      <c r="P82" s="249"/>
      <c r="Q82" s="245">
        <f t="shared" si="4"/>
        <v>0</v>
      </c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  <c r="AJ82" s="244"/>
      <c r="AK82" s="244"/>
      <c r="AL82" s="244"/>
      <c r="AM82" s="244"/>
      <c r="AN82" s="244"/>
      <c r="AO82" s="244"/>
      <c r="AP82" s="244"/>
      <c r="AQ82" s="244"/>
      <c r="AR82" s="244"/>
      <c r="AS82" s="244"/>
      <c r="AT82" s="244"/>
      <c r="AU82" s="244"/>
      <c r="AV82" s="244"/>
      <c r="AW82" s="244"/>
      <c r="AX82" s="244"/>
      <c r="AY82" s="244"/>
      <c r="AZ82" s="246">
        <f t="shared" si="42"/>
        <v>0</v>
      </c>
      <c r="BA82" s="244"/>
      <c r="BB82" s="244"/>
      <c r="BC82" s="246">
        <f t="shared" si="43"/>
        <v>0</v>
      </c>
      <c r="BD82" s="244"/>
      <c r="BE82" s="244"/>
      <c r="BF82" s="244"/>
      <c r="BG82" s="246">
        <f t="shared" si="44"/>
        <v>0</v>
      </c>
      <c r="BH82" s="244"/>
      <c r="BI82" s="244"/>
      <c r="BJ82" s="244"/>
      <c r="BK82" s="244"/>
      <c r="BL82" s="244"/>
      <c r="BM82" s="244"/>
      <c r="BN82" s="244"/>
      <c r="BO82" s="244"/>
      <c r="BP82" s="244"/>
      <c r="BQ82" s="244"/>
      <c r="BR82" s="247">
        <f t="shared" si="45"/>
        <v>0</v>
      </c>
      <c r="BS82" s="244"/>
      <c r="BT82" s="244"/>
      <c r="BU82" s="244"/>
      <c r="BV82" s="244"/>
      <c r="BW82" s="244"/>
      <c r="BX82" s="244"/>
      <c r="BY82" s="248">
        <f t="shared" si="15"/>
        <v>701800.47</v>
      </c>
      <c r="BZ82" s="244">
        <f t="shared" si="46"/>
        <v>0</v>
      </c>
      <c r="CA82" s="244"/>
      <c r="CB82" s="244"/>
      <c r="CC82" s="221" t="s">
        <v>86</v>
      </c>
    </row>
    <row r="83" spans="1:81" ht="18">
      <c r="A83" s="158" t="s">
        <v>363</v>
      </c>
      <c r="B83" s="159" t="s">
        <v>45</v>
      </c>
      <c r="C83" s="243">
        <f t="shared" si="111"/>
        <v>0</v>
      </c>
      <c r="D83" s="249">
        <f>'ФОТ по ЗП-соц'!AG11*1000</f>
        <v>0</v>
      </c>
      <c r="E83" s="249">
        <f>'ФОТ по ЗП-соц'!AH11*1000</f>
        <v>0</v>
      </c>
      <c r="F83" s="249">
        <f>'ФОТ по ЗП-соц'!AI11*1000</f>
        <v>0</v>
      </c>
      <c r="G83" s="249">
        <f>'ФОТ по ЗП-соц'!AJ11*1000</f>
        <v>0</v>
      </c>
      <c r="H83" s="249">
        <f>'ФОТ по ЗП-соц'!AK11*1000</f>
        <v>0</v>
      </c>
      <c r="I83" s="249">
        <f>'ФОТ по ЗП-соц'!AL11*1000</f>
        <v>0</v>
      </c>
      <c r="J83" s="249">
        <f>'ФОТ по ЗП-соц'!AM11*1000</f>
        <v>0</v>
      </c>
      <c r="K83" s="249">
        <f>'ФОТ по ЗП-соц'!AN11*1000</f>
        <v>0</v>
      </c>
      <c r="L83" s="249">
        <f>'ФОТ по ЗП-соц'!AO11*1000</f>
        <v>0</v>
      </c>
      <c r="M83" s="249">
        <f>'ФОТ по ЗП-соц'!AP11*1000</f>
        <v>0</v>
      </c>
      <c r="N83" s="430"/>
      <c r="O83" s="249">
        <f>'ФОТ по ЗП-соц'!AF11*1000</f>
        <v>0</v>
      </c>
      <c r="P83" s="249"/>
      <c r="Q83" s="245">
        <f t="shared" si="4"/>
        <v>0</v>
      </c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  <c r="AJ83" s="244"/>
      <c r="AK83" s="244"/>
      <c r="AL83" s="244"/>
      <c r="AM83" s="244"/>
      <c r="AN83" s="244"/>
      <c r="AO83" s="244"/>
      <c r="AP83" s="244"/>
      <c r="AQ83" s="244"/>
      <c r="AR83" s="244"/>
      <c r="AS83" s="244"/>
      <c r="AT83" s="244"/>
      <c r="AU83" s="244"/>
      <c r="AV83" s="244"/>
      <c r="AW83" s="244"/>
      <c r="AX83" s="244"/>
      <c r="AY83" s="244"/>
      <c r="AZ83" s="246">
        <f t="shared" si="42"/>
        <v>0</v>
      </c>
      <c r="BA83" s="244"/>
      <c r="BB83" s="244"/>
      <c r="BC83" s="246">
        <f t="shared" si="43"/>
        <v>0</v>
      </c>
      <c r="BD83" s="244"/>
      <c r="BE83" s="244"/>
      <c r="BF83" s="244"/>
      <c r="BG83" s="246">
        <f t="shared" si="44"/>
        <v>0</v>
      </c>
      <c r="BH83" s="244"/>
      <c r="BI83" s="244"/>
      <c r="BJ83" s="244"/>
      <c r="BK83" s="244"/>
      <c r="BL83" s="244"/>
      <c r="BM83" s="244"/>
      <c r="BN83" s="244"/>
      <c r="BO83" s="244"/>
      <c r="BP83" s="244"/>
      <c r="BQ83" s="244"/>
      <c r="BR83" s="247">
        <f t="shared" si="45"/>
        <v>0</v>
      </c>
      <c r="BS83" s="244"/>
      <c r="BT83" s="244"/>
      <c r="BU83" s="244"/>
      <c r="BV83" s="244"/>
      <c r="BW83" s="244"/>
      <c r="BX83" s="244"/>
      <c r="BY83" s="248">
        <f t="shared" si="15"/>
        <v>0</v>
      </c>
      <c r="BZ83" s="244">
        <f t="shared" si="46"/>
        <v>0</v>
      </c>
      <c r="CA83" s="244"/>
      <c r="CB83" s="244"/>
      <c r="CC83" s="221" t="s">
        <v>86</v>
      </c>
    </row>
    <row r="84" spans="1:81" ht="36">
      <c r="A84" s="158" t="s">
        <v>364</v>
      </c>
      <c r="B84" s="159" t="s">
        <v>365</v>
      </c>
      <c r="C84" s="243">
        <f t="shared" si="111"/>
        <v>0</v>
      </c>
      <c r="D84" s="249">
        <f>'ФОТ по ЗП-соц'!AG12*1000</f>
        <v>0</v>
      </c>
      <c r="E84" s="249">
        <f>'ФОТ по ЗП-соц'!AH12*1000</f>
        <v>0</v>
      </c>
      <c r="F84" s="249">
        <f>'ФОТ по ЗП-соц'!AI12*1000</f>
        <v>0</v>
      </c>
      <c r="G84" s="249">
        <f>'ФОТ по ЗП-соц'!AJ12*1000</f>
        <v>0</v>
      </c>
      <c r="H84" s="249">
        <f>'ФОТ по ЗП-соц'!AK12*1000</f>
        <v>0</v>
      </c>
      <c r="I84" s="249">
        <f>'ФОТ по ЗП-соц'!AL12*1000</f>
        <v>0</v>
      </c>
      <c r="J84" s="249">
        <f>'ФОТ по ЗП-соц'!AM12*1000</f>
        <v>0</v>
      </c>
      <c r="K84" s="249">
        <f>'ФОТ по ЗП-соц'!AN12*1000</f>
        <v>0</v>
      </c>
      <c r="L84" s="249">
        <f>'ФОТ по ЗП-соц'!AO12*1000</f>
        <v>0</v>
      </c>
      <c r="M84" s="249">
        <f>'ФОТ по ЗП-соц'!AP12*1000</f>
        <v>0</v>
      </c>
      <c r="N84" s="430"/>
      <c r="O84" s="249">
        <f>'ФОТ по ЗП-соц'!AF12*1000</f>
        <v>0</v>
      </c>
      <c r="P84" s="249"/>
      <c r="Q84" s="245">
        <f t="shared" si="4"/>
        <v>0</v>
      </c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44"/>
      <c r="AU84" s="244"/>
      <c r="AV84" s="244"/>
      <c r="AW84" s="244"/>
      <c r="AX84" s="244"/>
      <c r="AY84" s="244"/>
      <c r="AZ84" s="246">
        <f t="shared" si="42"/>
        <v>0</v>
      </c>
      <c r="BA84" s="244"/>
      <c r="BB84" s="244"/>
      <c r="BC84" s="246">
        <f t="shared" si="43"/>
        <v>0</v>
      </c>
      <c r="BD84" s="244"/>
      <c r="BE84" s="244"/>
      <c r="BF84" s="244"/>
      <c r="BG84" s="246">
        <f t="shared" si="44"/>
        <v>0</v>
      </c>
      <c r="BH84" s="244"/>
      <c r="BI84" s="244"/>
      <c r="BJ84" s="244"/>
      <c r="BK84" s="244"/>
      <c r="BL84" s="244"/>
      <c r="BM84" s="244"/>
      <c r="BN84" s="244"/>
      <c r="BO84" s="244"/>
      <c r="BP84" s="244"/>
      <c r="BQ84" s="244"/>
      <c r="BR84" s="247">
        <f t="shared" si="45"/>
        <v>0</v>
      </c>
      <c r="BS84" s="244"/>
      <c r="BT84" s="244"/>
      <c r="BU84" s="244"/>
      <c r="BV84" s="244"/>
      <c r="BW84" s="244"/>
      <c r="BX84" s="244"/>
      <c r="BY84" s="248">
        <f t="shared" si="15"/>
        <v>0</v>
      </c>
      <c r="BZ84" s="244">
        <f t="shared" si="46"/>
        <v>0</v>
      </c>
      <c r="CA84" s="244"/>
      <c r="CB84" s="244"/>
      <c r="CC84" s="221" t="s">
        <v>86</v>
      </c>
    </row>
    <row r="85" spans="1:81" ht="18">
      <c r="A85" s="158" t="s">
        <v>216</v>
      </c>
      <c r="B85" s="159" t="s">
        <v>47</v>
      </c>
      <c r="C85" s="243">
        <f t="shared" si="111"/>
        <v>5242981.9799999995</v>
      </c>
      <c r="D85" s="249">
        <f>'ФОТ по ЗП-соц'!AG13*1000</f>
        <v>5242981.9799999995</v>
      </c>
      <c r="E85" s="249">
        <f>'ФОТ по ЗП-соц'!AH13*1000</f>
        <v>0</v>
      </c>
      <c r="F85" s="249">
        <f>'ФОТ по ЗП-соц'!AI13*1000</f>
        <v>0</v>
      </c>
      <c r="G85" s="249">
        <f>'ФОТ по ЗП-соц'!AJ13*1000</f>
        <v>0</v>
      </c>
      <c r="H85" s="249">
        <f>'ФОТ по ЗП-соц'!AK13*1000</f>
        <v>0</v>
      </c>
      <c r="I85" s="249">
        <f>'ФОТ по ЗП-соц'!AL13*1000</f>
        <v>0</v>
      </c>
      <c r="J85" s="249">
        <f>'ФОТ по ЗП-соц'!AM13*1000</f>
        <v>0</v>
      </c>
      <c r="K85" s="249">
        <f>'ФОТ по ЗП-соц'!AN13*1000</f>
        <v>0</v>
      </c>
      <c r="L85" s="249">
        <f>'ФОТ по ЗП-соц'!AO13*1000</f>
        <v>0</v>
      </c>
      <c r="M85" s="249">
        <f>'ФОТ по ЗП-соц'!AP13*1000</f>
        <v>0</v>
      </c>
      <c r="N85" s="430"/>
      <c r="O85" s="249">
        <f>'ФОТ по ЗП-соц'!AF13*1000</f>
        <v>0</v>
      </c>
      <c r="P85" s="249"/>
      <c r="Q85" s="245">
        <f t="shared" si="4"/>
        <v>0</v>
      </c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P85" s="244"/>
      <c r="AQ85" s="244"/>
      <c r="AR85" s="244"/>
      <c r="AS85" s="244"/>
      <c r="AT85" s="244"/>
      <c r="AU85" s="244"/>
      <c r="AV85" s="244"/>
      <c r="AW85" s="244"/>
      <c r="AX85" s="244"/>
      <c r="AY85" s="244"/>
      <c r="AZ85" s="246">
        <f t="shared" si="42"/>
        <v>0</v>
      </c>
      <c r="BA85" s="244"/>
      <c r="BB85" s="244"/>
      <c r="BC85" s="246">
        <f t="shared" si="43"/>
        <v>0</v>
      </c>
      <c r="BD85" s="244"/>
      <c r="BE85" s="244"/>
      <c r="BF85" s="244"/>
      <c r="BG85" s="246">
        <f t="shared" si="44"/>
        <v>0</v>
      </c>
      <c r="BH85" s="244"/>
      <c r="BI85" s="244"/>
      <c r="BJ85" s="244"/>
      <c r="BK85" s="244"/>
      <c r="BL85" s="244"/>
      <c r="BM85" s="244"/>
      <c r="BN85" s="244"/>
      <c r="BO85" s="244"/>
      <c r="BP85" s="244"/>
      <c r="BQ85" s="244"/>
      <c r="BR85" s="247">
        <f t="shared" si="45"/>
        <v>0</v>
      </c>
      <c r="BS85" s="244"/>
      <c r="BT85" s="244"/>
      <c r="BU85" s="244"/>
      <c r="BV85" s="244"/>
      <c r="BW85" s="244"/>
      <c r="BX85" s="244"/>
      <c r="BY85" s="248">
        <f t="shared" si="15"/>
        <v>5242981.9799999995</v>
      </c>
      <c r="BZ85" s="244">
        <f t="shared" si="46"/>
        <v>0</v>
      </c>
      <c r="CA85" s="244"/>
      <c r="CB85" s="244"/>
      <c r="CC85" s="221" t="s">
        <v>86</v>
      </c>
    </row>
    <row r="86" spans="1:81" ht="18">
      <c r="A86" s="158" t="s">
        <v>49</v>
      </c>
      <c r="B86" s="159" t="s">
        <v>50</v>
      </c>
      <c r="C86" s="243">
        <f t="shared" si="111"/>
        <v>0</v>
      </c>
      <c r="D86" s="249">
        <f>'ФОТ по ЗП-соц'!AG14*1000</f>
        <v>0</v>
      </c>
      <c r="E86" s="249">
        <f>'ФОТ по ЗП-соц'!AH14*1000</f>
        <v>0</v>
      </c>
      <c r="F86" s="249">
        <f>'ФОТ по ЗП-соц'!AI14*1000</f>
        <v>0</v>
      </c>
      <c r="G86" s="249">
        <f>'ФОТ по ЗП-соц'!AJ14*1000</f>
        <v>0</v>
      </c>
      <c r="H86" s="249">
        <f>'ФОТ по ЗП-соц'!AK14*1000</f>
        <v>0</v>
      </c>
      <c r="I86" s="249">
        <f>'ФОТ по ЗП-соц'!AL14*1000</f>
        <v>0</v>
      </c>
      <c r="J86" s="249">
        <f>'ФОТ по ЗП-соц'!AM14*1000</f>
        <v>0</v>
      </c>
      <c r="K86" s="249">
        <f>'ФОТ по ЗП-соц'!AN14*1000</f>
        <v>0</v>
      </c>
      <c r="L86" s="249">
        <f>'ФОТ по ЗП-соц'!AO14*1000</f>
        <v>0</v>
      </c>
      <c r="M86" s="249">
        <f>'ФОТ по ЗП-соц'!AP14*1000</f>
        <v>0</v>
      </c>
      <c r="N86" s="430"/>
      <c r="O86" s="249">
        <f>'ФОТ по ЗП-соц'!AF14*1000</f>
        <v>0</v>
      </c>
      <c r="P86" s="249"/>
      <c r="Q86" s="245">
        <f t="shared" si="4"/>
        <v>0</v>
      </c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  <c r="AJ86" s="244"/>
      <c r="AK86" s="244"/>
      <c r="AL86" s="244"/>
      <c r="AM86" s="244"/>
      <c r="AN86" s="244"/>
      <c r="AO86" s="244"/>
      <c r="AP86" s="244"/>
      <c r="AQ86" s="244"/>
      <c r="AR86" s="244"/>
      <c r="AS86" s="244"/>
      <c r="AT86" s="244"/>
      <c r="AU86" s="244"/>
      <c r="AV86" s="244"/>
      <c r="AW86" s="244"/>
      <c r="AX86" s="244"/>
      <c r="AY86" s="244"/>
      <c r="AZ86" s="246">
        <f t="shared" si="42"/>
        <v>0</v>
      </c>
      <c r="BA86" s="244"/>
      <c r="BB86" s="244"/>
      <c r="BC86" s="246">
        <f t="shared" si="43"/>
        <v>0</v>
      </c>
      <c r="BD86" s="244"/>
      <c r="BE86" s="244"/>
      <c r="BF86" s="244"/>
      <c r="BG86" s="246">
        <f t="shared" si="44"/>
        <v>0</v>
      </c>
      <c r="BH86" s="244"/>
      <c r="BI86" s="244"/>
      <c r="BJ86" s="244"/>
      <c r="BK86" s="244"/>
      <c r="BL86" s="244"/>
      <c r="BM86" s="244"/>
      <c r="BN86" s="244"/>
      <c r="BO86" s="244"/>
      <c r="BP86" s="244"/>
      <c r="BQ86" s="244"/>
      <c r="BR86" s="247">
        <f t="shared" si="45"/>
        <v>0</v>
      </c>
      <c r="BS86" s="244"/>
      <c r="BT86" s="244"/>
      <c r="BU86" s="244"/>
      <c r="BV86" s="244"/>
      <c r="BW86" s="244"/>
      <c r="BX86" s="244"/>
      <c r="BY86" s="248">
        <f t="shared" si="15"/>
        <v>0</v>
      </c>
      <c r="BZ86" s="244">
        <f t="shared" si="46"/>
        <v>0</v>
      </c>
      <c r="CA86" s="244"/>
      <c r="CB86" s="244"/>
      <c r="CC86" s="221" t="s">
        <v>86</v>
      </c>
    </row>
    <row r="87" spans="1:81" ht="61.2">
      <c r="A87" s="160" t="s">
        <v>52</v>
      </c>
      <c r="B87" s="159" t="s">
        <v>53</v>
      </c>
      <c r="C87" s="243">
        <f t="shared" si="111"/>
        <v>0</v>
      </c>
      <c r="D87" s="249">
        <f>'ФОТ по ЗП-соц'!AG15*1000</f>
        <v>0</v>
      </c>
      <c r="E87" s="249">
        <f>'ФОТ по ЗП-соц'!AH15*1000</f>
        <v>0</v>
      </c>
      <c r="F87" s="249">
        <f>'ФОТ по ЗП-соц'!AI15*1000</f>
        <v>0</v>
      </c>
      <c r="G87" s="249">
        <f>'ФОТ по ЗП-соц'!AJ15*1000</f>
        <v>0</v>
      </c>
      <c r="H87" s="249">
        <f>'ФОТ по ЗП-соц'!AK15*1000</f>
        <v>0</v>
      </c>
      <c r="I87" s="249">
        <f>'ФОТ по ЗП-соц'!AL15*1000</f>
        <v>0</v>
      </c>
      <c r="J87" s="249">
        <f>'ФОТ по ЗП-соц'!AM15*1000</f>
        <v>0</v>
      </c>
      <c r="K87" s="249">
        <f>'ФОТ по ЗП-соц'!AN15*1000</f>
        <v>0</v>
      </c>
      <c r="L87" s="249">
        <f>'ФОТ по ЗП-соц'!AO15*1000</f>
        <v>0</v>
      </c>
      <c r="M87" s="249">
        <f>'ФОТ по ЗП-соц'!AP15*1000</f>
        <v>0</v>
      </c>
      <c r="N87" s="430"/>
      <c r="O87" s="249">
        <f>'ФОТ по ЗП-соц'!AF15*1000</f>
        <v>0</v>
      </c>
      <c r="P87" s="249"/>
      <c r="Q87" s="245">
        <f t="shared" si="4"/>
        <v>0</v>
      </c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  <c r="AJ87" s="244"/>
      <c r="AK87" s="244"/>
      <c r="AL87" s="244"/>
      <c r="AM87" s="244"/>
      <c r="AN87" s="244"/>
      <c r="AO87" s="244"/>
      <c r="AP87" s="244"/>
      <c r="AQ87" s="244"/>
      <c r="AR87" s="244"/>
      <c r="AS87" s="244"/>
      <c r="AT87" s="244"/>
      <c r="AU87" s="244"/>
      <c r="AV87" s="244"/>
      <c r="AW87" s="244"/>
      <c r="AX87" s="244"/>
      <c r="AY87" s="244"/>
      <c r="AZ87" s="246">
        <f t="shared" si="42"/>
        <v>0</v>
      </c>
      <c r="BA87" s="244"/>
      <c r="BB87" s="244"/>
      <c r="BC87" s="246">
        <f t="shared" si="43"/>
        <v>0</v>
      </c>
      <c r="BD87" s="244"/>
      <c r="BE87" s="244"/>
      <c r="BF87" s="244"/>
      <c r="BG87" s="246">
        <f t="shared" si="44"/>
        <v>0</v>
      </c>
      <c r="BH87" s="244"/>
      <c r="BI87" s="244"/>
      <c r="BJ87" s="244"/>
      <c r="BK87" s="244"/>
      <c r="BL87" s="244"/>
      <c r="BM87" s="244"/>
      <c r="BN87" s="244"/>
      <c r="BO87" s="244"/>
      <c r="BP87" s="244"/>
      <c r="BQ87" s="244"/>
      <c r="BR87" s="247">
        <f t="shared" si="45"/>
        <v>0</v>
      </c>
      <c r="BS87" s="244"/>
      <c r="BT87" s="244"/>
      <c r="BU87" s="244"/>
      <c r="BV87" s="244"/>
      <c r="BW87" s="244"/>
      <c r="BX87" s="244"/>
      <c r="BY87" s="248">
        <f t="shared" si="15"/>
        <v>0</v>
      </c>
      <c r="BZ87" s="244">
        <f t="shared" si="46"/>
        <v>0</v>
      </c>
      <c r="CA87" s="244"/>
      <c r="CB87" s="244"/>
      <c r="CC87" s="221" t="s">
        <v>86</v>
      </c>
    </row>
    <row r="88" spans="1:81" ht="30.6">
      <c r="A88" s="160" t="s">
        <v>366</v>
      </c>
      <c r="B88" s="159" t="s">
        <v>55</v>
      </c>
      <c r="C88" s="243">
        <f t="shared" si="111"/>
        <v>2702842</v>
      </c>
      <c r="D88" s="249">
        <f>'ФОТ по ЗП-соц'!AG16*1000</f>
        <v>2227662</v>
      </c>
      <c r="E88" s="249">
        <f>'ФОТ по ЗП-соц'!AH16*1000</f>
        <v>0</v>
      </c>
      <c r="F88" s="249">
        <f>'ФОТ по ЗП-соц'!AI16*1000</f>
        <v>0</v>
      </c>
      <c r="G88" s="249">
        <f>'ФОТ по ЗП-соц'!AJ16*1000</f>
        <v>0</v>
      </c>
      <c r="H88" s="249">
        <f>'ФОТ по ЗП-соц'!AK16*1000</f>
        <v>0</v>
      </c>
      <c r="I88" s="249">
        <f>'ФОТ по ЗП-соц'!AL16*1000</f>
        <v>0</v>
      </c>
      <c r="J88" s="249">
        <f>'ФОТ по ЗП-соц'!AM16*1000</f>
        <v>0</v>
      </c>
      <c r="K88" s="249">
        <f>'ФОТ по ЗП-соц'!AN16*1000</f>
        <v>0</v>
      </c>
      <c r="L88" s="249">
        <f>'ФОТ по ЗП-соц'!AO16*1000</f>
        <v>0</v>
      </c>
      <c r="M88" s="249">
        <f>'ФОТ по ЗП-соц'!AP16*1000</f>
        <v>0</v>
      </c>
      <c r="N88" s="430"/>
      <c r="O88" s="249">
        <f>'ФОТ по ЗП-соц'!AF16*1000-BI88</f>
        <v>475180</v>
      </c>
      <c r="P88" s="249"/>
      <c r="Q88" s="245">
        <f t="shared" si="4"/>
        <v>0</v>
      </c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  <c r="AJ88" s="244"/>
      <c r="AK88" s="244"/>
      <c r="AL88" s="244"/>
      <c r="AM88" s="244"/>
      <c r="AN88" s="244"/>
      <c r="AO88" s="244"/>
      <c r="AP88" s="244"/>
      <c r="AQ88" s="244"/>
      <c r="AR88" s="244"/>
      <c r="AS88" s="244"/>
      <c r="AT88" s="244"/>
      <c r="AU88" s="244"/>
      <c r="AV88" s="244"/>
      <c r="AW88" s="244"/>
      <c r="AX88" s="244"/>
      <c r="AY88" s="244"/>
      <c r="AZ88" s="246">
        <f t="shared" si="42"/>
        <v>0</v>
      </c>
      <c r="BA88" s="244"/>
      <c r="BB88" s="244"/>
      <c r="BC88" s="246">
        <f t="shared" si="43"/>
        <v>0</v>
      </c>
      <c r="BD88" s="244"/>
      <c r="BE88" s="244"/>
      <c r="BF88" s="244"/>
      <c r="BG88" s="246">
        <f t="shared" si="44"/>
        <v>2000000</v>
      </c>
      <c r="BH88" s="244"/>
      <c r="BI88" s="244">
        <v>2000000</v>
      </c>
      <c r="BJ88" s="244"/>
      <c r="BK88" s="244"/>
      <c r="BL88" s="244"/>
      <c r="BM88" s="244"/>
      <c r="BN88" s="244"/>
      <c r="BO88" s="244"/>
      <c r="BP88" s="244"/>
      <c r="BQ88" s="244"/>
      <c r="BR88" s="247">
        <f t="shared" si="45"/>
        <v>0</v>
      </c>
      <c r="BS88" s="244"/>
      <c r="BT88" s="244"/>
      <c r="BU88" s="244"/>
      <c r="BV88" s="244"/>
      <c r="BW88" s="244"/>
      <c r="BX88" s="244"/>
      <c r="BY88" s="248">
        <f t="shared" si="15"/>
        <v>4702842</v>
      </c>
      <c r="BZ88" s="244">
        <f t="shared" si="46"/>
        <v>0</v>
      </c>
      <c r="CA88" s="244"/>
      <c r="CB88" s="244"/>
      <c r="CC88" s="221" t="s">
        <v>86</v>
      </c>
    </row>
    <row r="89" spans="1:81" ht="54">
      <c r="A89" s="158" t="s">
        <v>367</v>
      </c>
      <c r="B89" s="159" t="s">
        <v>56</v>
      </c>
      <c r="C89" s="243">
        <f t="shared" si="111"/>
        <v>1093260</v>
      </c>
      <c r="D89" s="249">
        <f>'ФОТ по ЗП-соц'!AG17*1000</f>
        <v>0</v>
      </c>
      <c r="E89" s="249">
        <f>'ФОТ по ЗП-соц'!AH17*1000</f>
        <v>0</v>
      </c>
      <c r="F89" s="249">
        <f>'ФОТ по ЗП-соц'!AI17*1000</f>
        <v>0</v>
      </c>
      <c r="G89" s="249">
        <f>'ФОТ по ЗП-соц'!AJ17*1000</f>
        <v>0</v>
      </c>
      <c r="H89" s="249">
        <f>'ФОТ по ЗП-соц'!AK17*1000</f>
        <v>0</v>
      </c>
      <c r="I89" s="249">
        <f>'ФОТ по ЗП-соц'!AL17*1000</f>
        <v>0</v>
      </c>
      <c r="J89" s="249">
        <f>'ФОТ по ЗП-соц'!AM17*1000</f>
        <v>0</v>
      </c>
      <c r="K89" s="249">
        <f>'ФОТ по ЗП-соц'!AN17*1000</f>
        <v>0</v>
      </c>
      <c r="L89" s="249">
        <f>'ФОТ по ЗП-соц'!AO17*1000</f>
        <v>0</v>
      </c>
      <c r="M89" s="249">
        <f>'ФОТ по ЗП-соц'!AP17*1000</f>
        <v>0</v>
      </c>
      <c r="N89" s="430"/>
      <c r="O89" s="278">
        <v>1093260</v>
      </c>
      <c r="P89" s="249"/>
      <c r="Q89" s="245">
        <f t="shared" si="4"/>
        <v>0</v>
      </c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44"/>
      <c r="AL89" s="244"/>
      <c r="AM89" s="244"/>
      <c r="AN89" s="244"/>
      <c r="AO89" s="244"/>
      <c r="AP89" s="244"/>
      <c r="AQ89" s="244"/>
      <c r="AR89" s="244"/>
      <c r="AS89" s="244"/>
      <c r="AT89" s="244"/>
      <c r="AU89" s="244"/>
      <c r="AV89" s="244"/>
      <c r="AW89" s="244"/>
      <c r="AX89" s="244"/>
      <c r="AY89" s="244"/>
      <c r="AZ89" s="246">
        <f t="shared" si="42"/>
        <v>0</v>
      </c>
      <c r="BA89" s="244"/>
      <c r="BB89" s="244"/>
      <c r="BC89" s="246">
        <f t="shared" si="43"/>
        <v>0</v>
      </c>
      <c r="BD89" s="244"/>
      <c r="BE89" s="244"/>
      <c r="BF89" s="244"/>
      <c r="BG89" s="246">
        <f t="shared" si="44"/>
        <v>3405446.83</v>
      </c>
      <c r="BH89" s="244"/>
      <c r="BI89" s="244">
        <v>3405446.83</v>
      </c>
      <c r="BJ89" s="244"/>
      <c r="BK89" s="244"/>
      <c r="BL89" s="244"/>
      <c r="BM89" s="244"/>
      <c r="BN89" s="244"/>
      <c r="BO89" s="244"/>
      <c r="BP89" s="244"/>
      <c r="BQ89" s="244"/>
      <c r="BR89" s="247">
        <f t="shared" si="45"/>
        <v>0</v>
      </c>
      <c r="BS89" s="244"/>
      <c r="BT89" s="244"/>
      <c r="BU89" s="244"/>
      <c r="BV89" s="244"/>
      <c r="BW89" s="244"/>
      <c r="BX89" s="244"/>
      <c r="BY89" s="248">
        <f t="shared" si="15"/>
        <v>4498706.83</v>
      </c>
      <c r="BZ89" s="244">
        <f t="shared" si="46"/>
        <v>0</v>
      </c>
      <c r="CA89" s="244"/>
      <c r="CB89" s="244"/>
      <c r="CC89" s="221" t="s">
        <v>86</v>
      </c>
    </row>
    <row r="90" spans="1:81" ht="18">
      <c r="A90" s="158" t="s">
        <v>57</v>
      </c>
      <c r="B90" s="159" t="s">
        <v>58</v>
      </c>
      <c r="C90" s="243">
        <f t="shared" si="111"/>
        <v>0</v>
      </c>
      <c r="D90" s="249">
        <f>'ФОТ по ЗП-соц'!AG18*1000</f>
        <v>0</v>
      </c>
      <c r="E90" s="249">
        <f>'ФОТ по ЗП-соц'!AH18*1000</f>
        <v>0</v>
      </c>
      <c r="F90" s="249">
        <f>'ФОТ по ЗП-соц'!AI18*1000</f>
        <v>0</v>
      </c>
      <c r="G90" s="249">
        <f>'ФОТ по ЗП-соц'!AJ18*1000</f>
        <v>0</v>
      </c>
      <c r="H90" s="249">
        <f>'ФОТ по ЗП-соц'!AK18*1000</f>
        <v>0</v>
      </c>
      <c r="I90" s="249">
        <f>'ФОТ по ЗП-соц'!AL18*1000</f>
        <v>0</v>
      </c>
      <c r="J90" s="249">
        <f>'ФОТ по ЗП-соц'!AM18*1000</f>
        <v>0</v>
      </c>
      <c r="K90" s="249">
        <f>'ФОТ по ЗП-соц'!AN18*1000</f>
        <v>0</v>
      </c>
      <c r="L90" s="249">
        <f>'ФОТ по ЗП-соц'!AO18*1000</f>
        <v>0</v>
      </c>
      <c r="M90" s="249">
        <f>'ФОТ по ЗП-соц'!AP18*1000</f>
        <v>0</v>
      </c>
      <c r="N90" s="430"/>
      <c r="O90" s="249">
        <f>'ФОТ по ЗП-соц'!AF18*1000</f>
        <v>0</v>
      </c>
      <c r="P90" s="249"/>
      <c r="Q90" s="245">
        <f t="shared" si="4"/>
        <v>0</v>
      </c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  <c r="AJ90" s="244"/>
      <c r="AK90" s="244"/>
      <c r="AL90" s="244"/>
      <c r="AM90" s="244"/>
      <c r="AN90" s="244"/>
      <c r="AO90" s="244"/>
      <c r="AP90" s="244"/>
      <c r="AQ90" s="244"/>
      <c r="AR90" s="244"/>
      <c r="AS90" s="244"/>
      <c r="AT90" s="244"/>
      <c r="AU90" s="244"/>
      <c r="AV90" s="244"/>
      <c r="AW90" s="244"/>
      <c r="AX90" s="244"/>
      <c r="AY90" s="244"/>
      <c r="AZ90" s="246">
        <f t="shared" si="42"/>
        <v>0</v>
      </c>
      <c r="BA90" s="244"/>
      <c r="BB90" s="244"/>
      <c r="BC90" s="246">
        <f t="shared" si="43"/>
        <v>0</v>
      </c>
      <c r="BD90" s="244"/>
      <c r="BE90" s="244"/>
      <c r="BF90" s="244"/>
      <c r="BG90" s="246">
        <f t="shared" si="44"/>
        <v>0</v>
      </c>
      <c r="BH90" s="244"/>
      <c r="BI90" s="244"/>
      <c r="BJ90" s="244"/>
      <c r="BK90" s="244"/>
      <c r="BL90" s="244"/>
      <c r="BM90" s="244"/>
      <c r="BN90" s="244"/>
      <c r="BO90" s="244"/>
      <c r="BP90" s="244"/>
      <c r="BQ90" s="244"/>
      <c r="BR90" s="247">
        <f t="shared" si="45"/>
        <v>0</v>
      </c>
      <c r="BS90" s="244"/>
      <c r="BT90" s="244"/>
      <c r="BU90" s="244"/>
      <c r="BV90" s="244"/>
      <c r="BW90" s="244"/>
      <c r="BX90" s="244"/>
      <c r="BY90" s="248">
        <f t="shared" si="15"/>
        <v>0</v>
      </c>
      <c r="BZ90" s="244">
        <f t="shared" si="46"/>
        <v>0</v>
      </c>
      <c r="CA90" s="244"/>
      <c r="CB90" s="244"/>
      <c r="CC90" s="221" t="s">
        <v>86</v>
      </c>
    </row>
    <row r="91" spans="1:81" ht="51">
      <c r="A91" s="160" t="s">
        <v>549</v>
      </c>
      <c r="B91" s="159" t="s">
        <v>59</v>
      </c>
      <c r="C91" s="243">
        <f t="shared" si="111"/>
        <v>1937607.94</v>
      </c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430">
        <f>'ФОТ по ЗП-соц'!AE19*1000-558392.06</f>
        <v>1937607.94</v>
      </c>
      <c r="O91" s="249"/>
      <c r="P91" s="249"/>
      <c r="Q91" s="245">
        <f t="shared" si="4"/>
        <v>0</v>
      </c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  <c r="AJ91" s="244"/>
      <c r="AK91" s="244"/>
      <c r="AL91" s="244"/>
      <c r="AM91" s="244"/>
      <c r="AN91" s="244"/>
      <c r="AO91" s="244"/>
      <c r="AP91" s="244"/>
      <c r="AQ91" s="244"/>
      <c r="AR91" s="244"/>
      <c r="AS91" s="244"/>
      <c r="AT91" s="244"/>
      <c r="AU91" s="244"/>
      <c r="AV91" s="244"/>
      <c r="AW91" s="244"/>
      <c r="AX91" s="244"/>
      <c r="AY91" s="244"/>
      <c r="AZ91" s="246">
        <f t="shared" si="42"/>
        <v>0</v>
      </c>
      <c r="BA91" s="244"/>
      <c r="BB91" s="244"/>
      <c r="BC91" s="246">
        <f t="shared" si="43"/>
        <v>0</v>
      </c>
      <c r="BD91" s="244"/>
      <c r="BE91" s="244"/>
      <c r="BF91" s="244"/>
      <c r="BG91" s="246">
        <f t="shared" si="44"/>
        <v>0</v>
      </c>
      <c r="BH91" s="244"/>
      <c r="BI91" s="244"/>
      <c r="BJ91" s="244"/>
      <c r="BK91" s="244"/>
      <c r="BL91" s="244"/>
      <c r="BM91" s="244"/>
      <c r="BN91" s="244"/>
      <c r="BO91" s="244"/>
      <c r="BP91" s="244"/>
      <c r="BQ91" s="244"/>
      <c r="BR91" s="247">
        <f t="shared" si="45"/>
        <v>0</v>
      </c>
      <c r="BS91" s="244"/>
      <c r="BT91" s="244"/>
      <c r="BU91" s="244"/>
      <c r="BV91" s="244"/>
      <c r="BW91" s="244"/>
      <c r="BX91" s="244"/>
      <c r="BY91" s="248">
        <f t="shared" si="15"/>
        <v>1937607.94</v>
      </c>
      <c r="BZ91" s="244">
        <f t="shared" si="46"/>
        <v>0</v>
      </c>
      <c r="CA91" s="244"/>
      <c r="CB91" s="244"/>
      <c r="CC91" s="221" t="s">
        <v>86</v>
      </c>
    </row>
    <row r="92" spans="1:81" ht="54">
      <c r="A92" s="158" t="s">
        <v>60</v>
      </c>
      <c r="B92" s="159" t="s">
        <v>61</v>
      </c>
      <c r="C92" s="243">
        <f t="shared" si="111"/>
        <v>7730000</v>
      </c>
      <c r="D92" s="249">
        <f>'ФОТ по ЗП-соц'!AG20*1000</f>
        <v>7704000</v>
      </c>
      <c r="E92" s="249">
        <f>'ФОТ по ЗП-соц'!AH20*1000</f>
        <v>0</v>
      </c>
      <c r="F92" s="249">
        <f>'ФОТ по ЗП-соц'!AI20*1000</f>
        <v>0</v>
      </c>
      <c r="G92" s="249">
        <f>'ФОТ по ЗП-соц'!AJ20*1000</f>
        <v>0</v>
      </c>
      <c r="H92" s="249">
        <f>'ФОТ по ЗП-соц'!AK20*1000</f>
        <v>0</v>
      </c>
      <c r="I92" s="249">
        <f>'ФОТ по ЗП-соц'!AL20*1000</f>
        <v>0</v>
      </c>
      <c r="J92" s="249">
        <f>'ФОТ по ЗП-соц'!AM20*1000</f>
        <v>0</v>
      </c>
      <c r="K92" s="249">
        <f>'ФОТ по ЗП-соц'!AN20*1000</f>
        <v>0</v>
      </c>
      <c r="L92" s="249">
        <f>'ФОТ по ЗП-соц'!AO20*1000</f>
        <v>0</v>
      </c>
      <c r="M92" s="249">
        <f>'ФОТ по ЗП-соц'!AP20*1000</f>
        <v>0</v>
      </c>
      <c r="N92" s="430"/>
      <c r="O92" s="249">
        <f>'ФОТ по ЗП-соц'!AF20*1000-BI92</f>
        <v>26000</v>
      </c>
      <c r="P92" s="249"/>
      <c r="Q92" s="245">
        <f t="shared" si="4"/>
        <v>0</v>
      </c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  <c r="AJ92" s="244"/>
      <c r="AK92" s="244"/>
      <c r="AL92" s="244"/>
      <c r="AM92" s="244"/>
      <c r="AN92" s="244"/>
      <c r="AO92" s="244"/>
      <c r="AP92" s="244"/>
      <c r="AQ92" s="244"/>
      <c r="AR92" s="244"/>
      <c r="AS92" s="244"/>
      <c r="AT92" s="244"/>
      <c r="AU92" s="244"/>
      <c r="AV92" s="244"/>
      <c r="AW92" s="244"/>
      <c r="AX92" s="244"/>
      <c r="AY92" s="244"/>
      <c r="AZ92" s="246">
        <f t="shared" si="42"/>
        <v>0</v>
      </c>
      <c r="BA92" s="244"/>
      <c r="BB92" s="244"/>
      <c r="BC92" s="246">
        <f t="shared" si="43"/>
        <v>0</v>
      </c>
      <c r="BD92" s="244"/>
      <c r="BE92" s="244"/>
      <c r="BF92" s="244"/>
      <c r="BG92" s="246">
        <f t="shared" si="44"/>
        <v>1900000</v>
      </c>
      <c r="BH92" s="244"/>
      <c r="BI92" s="244">
        <v>1900000</v>
      </c>
      <c r="BJ92" s="244"/>
      <c r="BK92" s="244"/>
      <c r="BL92" s="244"/>
      <c r="BM92" s="244"/>
      <c r="BN92" s="244"/>
      <c r="BO92" s="244"/>
      <c r="BP92" s="244"/>
      <c r="BQ92" s="244"/>
      <c r="BR92" s="247">
        <f t="shared" si="45"/>
        <v>0</v>
      </c>
      <c r="BS92" s="244"/>
      <c r="BT92" s="244"/>
      <c r="BU92" s="244"/>
      <c r="BV92" s="244"/>
      <c r="BW92" s="244"/>
      <c r="BX92" s="244"/>
      <c r="BY92" s="248">
        <f t="shared" si="15"/>
        <v>9630000</v>
      </c>
      <c r="BZ92" s="244">
        <f t="shared" si="46"/>
        <v>0</v>
      </c>
      <c r="CA92" s="244"/>
      <c r="CB92" s="244"/>
      <c r="CC92" s="221" t="s">
        <v>86</v>
      </c>
    </row>
    <row r="93" spans="1:81" ht="54">
      <c r="A93" s="158" t="s">
        <v>368</v>
      </c>
      <c r="B93" s="159" t="s">
        <v>62</v>
      </c>
      <c r="C93" s="243">
        <f t="shared" si="111"/>
        <v>11626556.609999999</v>
      </c>
      <c r="D93" s="249">
        <v>11626556.609999999</v>
      </c>
      <c r="E93" s="249">
        <f>'ФОТ по ЗП-соц'!AH21*1000</f>
        <v>0</v>
      </c>
      <c r="F93" s="249">
        <f>'ФОТ по ЗП-соц'!AI21*1000</f>
        <v>0</v>
      </c>
      <c r="G93" s="249">
        <f>'ФОТ по ЗП-соц'!AJ21*1000</f>
        <v>0</v>
      </c>
      <c r="H93" s="249">
        <f>'ФОТ по ЗП-соц'!AK21*1000</f>
        <v>0</v>
      </c>
      <c r="I93" s="249">
        <f>'ФОТ по ЗП-соц'!AL21*1000</f>
        <v>0</v>
      </c>
      <c r="J93" s="249">
        <f>'ФОТ по ЗП-соц'!AM21*1000</f>
        <v>0</v>
      </c>
      <c r="K93" s="249">
        <f>'ФОТ по ЗП-соц'!AN21*1000</f>
        <v>0</v>
      </c>
      <c r="L93" s="249">
        <f>'ФОТ по ЗП-соц'!AO21*1000</f>
        <v>0</v>
      </c>
      <c r="M93" s="249">
        <f>'ФОТ по ЗП-соц'!AP21*1000</f>
        <v>0</v>
      </c>
      <c r="N93" s="430"/>
      <c r="O93" s="249">
        <f>'ФОТ по ЗП-соц'!AF21*1000</f>
        <v>0</v>
      </c>
      <c r="P93" s="249"/>
      <c r="Q93" s="245">
        <f t="shared" si="4"/>
        <v>0</v>
      </c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  <c r="AJ93" s="244"/>
      <c r="AK93" s="244"/>
      <c r="AL93" s="244"/>
      <c r="AM93" s="244"/>
      <c r="AN93" s="244"/>
      <c r="AO93" s="244"/>
      <c r="AP93" s="244"/>
      <c r="AQ93" s="244"/>
      <c r="AR93" s="244"/>
      <c r="AS93" s="244"/>
      <c r="AT93" s="244"/>
      <c r="AU93" s="244"/>
      <c r="AV93" s="244"/>
      <c r="AW93" s="244"/>
      <c r="AX93" s="244"/>
      <c r="AY93" s="244"/>
      <c r="AZ93" s="246">
        <f t="shared" si="42"/>
        <v>0</v>
      </c>
      <c r="BA93" s="244"/>
      <c r="BB93" s="244"/>
      <c r="BC93" s="246">
        <f t="shared" si="43"/>
        <v>0</v>
      </c>
      <c r="BD93" s="244"/>
      <c r="BE93" s="244"/>
      <c r="BF93" s="244"/>
      <c r="BG93" s="246">
        <f t="shared" si="44"/>
        <v>4232039.1100000003</v>
      </c>
      <c r="BH93" s="244"/>
      <c r="BI93" s="244">
        <v>3779158.89</v>
      </c>
      <c r="BJ93" s="244"/>
      <c r="BK93" s="244"/>
      <c r="BL93" s="244"/>
      <c r="BM93" s="244">
        <f>404161.62+48718.6</f>
        <v>452880.22</v>
      </c>
      <c r="BN93" s="244"/>
      <c r="BO93" s="244"/>
      <c r="BP93" s="244"/>
      <c r="BQ93" s="244"/>
      <c r="BR93" s="247">
        <f t="shared" si="45"/>
        <v>0</v>
      </c>
      <c r="BS93" s="244"/>
      <c r="BT93" s="244"/>
      <c r="BU93" s="244"/>
      <c r="BV93" s="244"/>
      <c r="BW93" s="244"/>
      <c r="BX93" s="244"/>
      <c r="BY93" s="248">
        <f t="shared" si="15"/>
        <v>15858595.719999999</v>
      </c>
      <c r="BZ93" s="244">
        <f t="shared" si="46"/>
        <v>0</v>
      </c>
      <c r="CA93" s="244"/>
      <c r="CB93" s="244"/>
      <c r="CC93" s="221" t="s">
        <v>86</v>
      </c>
    </row>
    <row r="94" spans="1:81" ht="54">
      <c r="A94" s="158" t="s">
        <v>369</v>
      </c>
      <c r="B94" s="159" t="s">
        <v>63</v>
      </c>
      <c r="C94" s="243">
        <f t="shared" si="111"/>
        <v>368416</v>
      </c>
      <c r="D94" s="249">
        <f>'ФОТ по ЗП-соц'!AG22*1000</f>
        <v>0</v>
      </c>
      <c r="E94" s="249">
        <f>'ФОТ по ЗП-соц'!AH22*1000</f>
        <v>0</v>
      </c>
      <c r="F94" s="249">
        <f>'ФОТ по ЗП-соц'!AI22*1000</f>
        <v>0</v>
      </c>
      <c r="G94" s="249">
        <f>'ФОТ по ЗП-соц'!AJ22*1000</f>
        <v>0</v>
      </c>
      <c r="H94" s="249">
        <f>'ФОТ по ЗП-соц'!AK22*1000</f>
        <v>0</v>
      </c>
      <c r="I94" s="249">
        <f>'ФОТ по ЗП-соц'!AL22*1000</f>
        <v>0</v>
      </c>
      <c r="J94" s="249">
        <f>'ФОТ по ЗП-соц'!AM22*1000</f>
        <v>0</v>
      </c>
      <c r="K94" s="249">
        <f>'ФОТ по ЗП-соц'!AN22*1000</f>
        <v>0</v>
      </c>
      <c r="L94" s="249">
        <f>'ФОТ по ЗП-соц'!AO22*1000</f>
        <v>0</v>
      </c>
      <c r="M94" s="249">
        <f>'ФОТ по ЗП-соц'!AP22*1000</f>
        <v>0</v>
      </c>
      <c r="N94" s="430"/>
      <c r="O94" s="278">
        <f>'ФОТ по ЗП-соц'!AF22*1000-BI94</f>
        <v>368416</v>
      </c>
      <c r="P94" s="249"/>
      <c r="Q94" s="245">
        <f t="shared" si="4"/>
        <v>0</v>
      </c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  <c r="AJ94" s="244"/>
      <c r="AK94" s="244"/>
      <c r="AL94" s="244"/>
      <c r="AM94" s="244"/>
      <c r="AN94" s="244"/>
      <c r="AO94" s="244"/>
      <c r="AP94" s="244"/>
      <c r="AQ94" s="244"/>
      <c r="AR94" s="244"/>
      <c r="AS94" s="244"/>
      <c r="AT94" s="244"/>
      <c r="AU94" s="244"/>
      <c r="AV94" s="244"/>
      <c r="AW94" s="244"/>
      <c r="AX94" s="244"/>
      <c r="AY94" s="244"/>
      <c r="AZ94" s="246">
        <f t="shared" si="42"/>
        <v>0</v>
      </c>
      <c r="BA94" s="244"/>
      <c r="BB94" s="244"/>
      <c r="BC94" s="246">
        <f t="shared" si="43"/>
        <v>0</v>
      </c>
      <c r="BD94" s="244"/>
      <c r="BE94" s="244"/>
      <c r="BF94" s="244"/>
      <c r="BG94" s="246">
        <f t="shared" si="44"/>
        <v>350000</v>
      </c>
      <c r="BH94" s="244"/>
      <c r="BI94" s="244">
        <v>350000</v>
      </c>
      <c r="BJ94" s="244"/>
      <c r="BK94" s="244"/>
      <c r="BL94" s="244"/>
      <c r="BM94" s="244"/>
      <c r="BN94" s="244"/>
      <c r="BO94" s="244"/>
      <c r="BP94" s="244"/>
      <c r="BQ94" s="244"/>
      <c r="BR94" s="247">
        <f t="shared" si="45"/>
        <v>0</v>
      </c>
      <c r="BS94" s="244"/>
      <c r="BT94" s="244"/>
      <c r="BU94" s="244"/>
      <c r="BV94" s="244"/>
      <c r="BW94" s="244"/>
      <c r="BX94" s="244"/>
      <c r="BY94" s="248">
        <f t="shared" si="15"/>
        <v>718416</v>
      </c>
      <c r="BZ94" s="244">
        <f t="shared" si="46"/>
        <v>0</v>
      </c>
      <c r="CA94" s="244"/>
      <c r="CB94" s="244"/>
      <c r="CC94" s="221" t="s">
        <v>86</v>
      </c>
    </row>
    <row r="95" spans="1:81" ht="18">
      <c r="A95" s="158" t="s">
        <v>370</v>
      </c>
      <c r="B95" s="159" t="s">
        <v>64</v>
      </c>
      <c r="C95" s="243">
        <f t="shared" si="111"/>
        <v>0</v>
      </c>
      <c r="D95" s="249">
        <f>'ФОТ по ЗП-соц'!AG23*1000</f>
        <v>0</v>
      </c>
      <c r="E95" s="249">
        <f>'ФОТ по ЗП-соц'!AH23*1000</f>
        <v>0</v>
      </c>
      <c r="F95" s="249">
        <f>'ФОТ по ЗП-соц'!AI23*1000</f>
        <v>0</v>
      </c>
      <c r="G95" s="249">
        <f>'ФОТ по ЗП-соц'!AJ23*1000</f>
        <v>0</v>
      </c>
      <c r="H95" s="249">
        <f>'ФОТ по ЗП-соц'!AK23*1000</f>
        <v>0</v>
      </c>
      <c r="I95" s="249">
        <f>'ФОТ по ЗП-соц'!AL23*1000</f>
        <v>0</v>
      </c>
      <c r="J95" s="249">
        <f>'ФОТ по ЗП-соц'!AM23*1000</f>
        <v>0</v>
      </c>
      <c r="K95" s="249">
        <f>'ФОТ по ЗП-соц'!AN23*1000</f>
        <v>0</v>
      </c>
      <c r="L95" s="249">
        <f>'ФОТ по ЗП-соц'!AO23*1000</f>
        <v>0</v>
      </c>
      <c r="M95" s="249">
        <f>'ФОТ по ЗП-соц'!AP23*1000</f>
        <v>0</v>
      </c>
      <c r="N95" s="430"/>
      <c r="O95" s="249">
        <f>'ФОТ по ЗП-соц'!AF23*1000</f>
        <v>0</v>
      </c>
      <c r="P95" s="249"/>
      <c r="Q95" s="245">
        <f t="shared" si="4"/>
        <v>0</v>
      </c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  <c r="AJ95" s="244"/>
      <c r="AK95" s="244"/>
      <c r="AL95" s="244"/>
      <c r="AM95" s="244"/>
      <c r="AN95" s="244"/>
      <c r="AO95" s="244"/>
      <c r="AP95" s="244"/>
      <c r="AQ95" s="244"/>
      <c r="AR95" s="244"/>
      <c r="AS95" s="244"/>
      <c r="AT95" s="244"/>
      <c r="AU95" s="244"/>
      <c r="AV95" s="244"/>
      <c r="AW95" s="244"/>
      <c r="AX95" s="244"/>
      <c r="AY95" s="244"/>
      <c r="AZ95" s="246">
        <f t="shared" si="42"/>
        <v>0</v>
      </c>
      <c r="BA95" s="244"/>
      <c r="BB95" s="244"/>
      <c r="BC95" s="246">
        <f t="shared" si="43"/>
        <v>0</v>
      </c>
      <c r="BD95" s="244"/>
      <c r="BE95" s="244"/>
      <c r="BF95" s="244"/>
      <c r="BG95" s="246">
        <f t="shared" si="44"/>
        <v>0</v>
      </c>
      <c r="BH95" s="244"/>
      <c r="BI95" s="244"/>
      <c r="BJ95" s="244"/>
      <c r="BK95" s="244"/>
      <c r="BL95" s="244"/>
      <c r="BM95" s="244"/>
      <c r="BN95" s="244"/>
      <c r="BO95" s="244"/>
      <c r="BP95" s="244"/>
      <c r="BQ95" s="244"/>
      <c r="BR95" s="247">
        <f t="shared" si="45"/>
        <v>0</v>
      </c>
      <c r="BS95" s="244"/>
      <c r="BT95" s="244"/>
      <c r="BU95" s="244"/>
      <c r="BV95" s="244"/>
      <c r="BW95" s="244"/>
      <c r="BX95" s="244"/>
      <c r="BY95" s="248">
        <f t="shared" si="15"/>
        <v>0</v>
      </c>
      <c r="BZ95" s="244">
        <f t="shared" si="46"/>
        <v>0</v>
      </c>
      <c r="CA95" s="244"/>
      <c r="CB95" s="244"/>
      <c r="CC95" s="221" t="s">
        <v>86</v>
      </c>
    </row>
    <row r="96" spans="1:81" ht="18">
      <c r="A96" s="158" t="s">
        <v>371</v>
      </c>
      <c r="B96" s="159" t="s">
        <v>372</v>
      </c>
      <c r="C96" s="243">
        <f t="shared" si="111"/>
        <v>0</v>
      </c>
      <c r="D96" s="249">
        <f>'ФОТ по ЗП-соц'!AG24*1000</f>
        <v>0</v>
      </c>
      <c r="E96" s="249">
        <f>'ФОТ по ЗП-соц'!AH24*1000</f>
        <v>0</v>
      </c>
      <c r="F96" s="249">
        <f>'ФОТ по ЗП-соц'!AI24*1000</f>
        <v>0</v>
      </c>
      <c r="G96" s="249">
        <f>'ФОТ по ЗП-соц'!AJ24*1000</f>
        <v>0</v>
      </c>
      <c r="H96" s="249">
        <f>'ФОТ по ЗП-соц'!AK24*1000</f>
        <v>0</v>
      </c>
      <c r="I96" s="249">
        <f>'ФОТ по ЗП-соц'!AL24*1000</f>
        <v>0</v>
      </c>
      <c r="J96" s="249">
        <f>'ФОТ по ЗП-соц'!AM24*1000</f>
        <v>0</v>
      </c>
      <c r="K96" s="249">
        <f>'ФОТ по ЗП-соц'!AN24*1000</f>
        <v>0</v>
      </c>
      <c r="L96" s="249">
        <f>'ФОТ по ЗП-соц'!AO24*1000</f>
        <v>0</v>
      </c>
      <c r="M96" s="249">
        <f>'ФОТ по ЗП-соц'!AP24*1000</f>
        <v>0</v>
      </c>
      <c r="N96" s="430"/>
      <c r="O96" s="249">
        <f>'ФОТ по ЗП-соц'!AF24*1000</f>
        <v>0</v>
      </c>
      <c r="P96" s="249"/>
      <c r="Q96" s="245">
        <f t="shared" si="4"/>
        <v>0</v>
      </c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  <c r="AJ96" s="244"/>
      <c r="AK96" s="244"/>
      <c r="AL96" s="244"/>
      <c r="AM96" s="244"/>
      <c r="AN96" s="244"/>
      <c r="AO96" s="244"/>
      <c r="AP96" s="244"/>
      <c r="AQ96" s="244"/>
      <c r="AR96" s="244"/>
      <c r="AS96" s="244"/>
      <c r="AT96" s="244"/>
      <c r="AU96" s="244"/>
      <c r="AV96" s="244"/>
      <c r="AW96" s="244"/>
      <c r="AX96" s="244"/>
      <c r="AY96" s="244"/>
      <c r="AZ96" s="246">
        <f t="shared" si="42"/>
        <v>0</v>
      </c>
      <c r="BA96" s="244"/>
      <c r="BB96" s="244"/>
      <c r="BC96" s="246">
        <f t="shared" si="43"/>
        <v>0</v>
      </c>
      <c r="BD96" s="244"/>
      <c r="BE96" s="244"/>
      <c r="BF96" s="244"/>
      <c r="BG96" s="246">
        <f t="shared" si="44"/>
        <v>0</v>
      </c>
      <c r="BH96" s="244"/>
      <c r="BI96" s="244"/>
      <c r="BJ96" s="244"/>
      <c r="BK96" s="244"/>
      <c r="BL96" s="244"/>
      <c r="BM96" s="244"/>
      <c r="BN96" s="244"/>
      <c r="BO96" s="244"/>
      <c r="BP96" s="244"/>
      <c r="BQ96" s="244"/>
      <c r="BR96" s="247">
        <f t="shared" si="45"/>
        <v>0</v>
      </c>
      <c r="BS96" s="244"/>
      <c r="BT96" s="244"/>
      <c r="BU96" s="244"/>
      <c r="BV96" s="244"/>
      <c r="BW96" s="244"/>
      <c r="BX96" s="244"/>
      <c r="BY96" s="248">
        <f t="shared" si="15"/>
        <v>0</v>
      </c>
      <c r="BZ96" s="244">
        <f t="shared" si="46"/>
        <v>0</v>
      </c>
      <c r="CA96" s="244"/>
      <c r="CB96" s="244"/>
      <c r="CC96" s="221" t="s">
        <v>86</v>
      </c>
    </row>
    <row r="97" spans="1:81" ht="18">
      <c r="A97" s="158" t="s">
        <v>373</v>
      </c>
      <c r="B97" s="159" t="s">
        <v>374</v>
      </c>
      <c r="C97" s="243">
        <f t="shared" si="111"/>
        <v>0</v>
      </c>
      <c r="D97" s="249">
        <f>'ФОТ по ЗП-соц'!AG25*1000</f>
        <v>0</v>
      </c>
      <c r="E97" s="249">
        <f>'ФОТ по ЗП-соц'!AH25*1000</f>
        <v>0</v>
      </c>
      <c r="F97" s="249">
        <f>'ФОТ по ЗП-соц'!AI25*1000</f>
        <v>0</v>
      </c>
      <c r="G97" s="249">
        <f>'ФОТ по ЗП-соц'!AJ25*1000</f>
        <v>0</v>
      </c>
      <c r="H97" s="249">
        <f>'ФОТ по ЗП-соц'!AK25*1000</f>
        <v>0</v>
      </c>
      <c r="I97" s="249">
        <f>'ФОТ по ЗП-соц'!AL25*1000</f>
        <v>0</v>
      </c>
      <c r="J97" s="249">
        <f>'ФОТ по ЗП-соц'!AM25*1000</f>
        <v>0</v>
      </c>
      <c r="K97" s="249">
        <f>'ФОТ по ЗП-соц'!AN25*1000</f>
        <v>0</v>
      </c>
      <c r="L97" s="249">
        <f>'ФОТ по ЗП-соц'!AO25*1000</f>
        <v>0</v>
      </c>
      <c r="M97" s="249">
        <f>'ФОТ по ЗП-соц'!AP25*1000</f>
        <v>0</v>
      </c>
      <c r="N97" s="430"/>
      <c r="O97" s="249">
        <f>'ФОТ по ЗП-соц'!AF25*1000</f>
        <v>0</v>
      </c>
      <c r="P97" s="249"/>
      <c r="Q97" s="245">
        <f t="shared" si="4"/>
        <v>0</v>
      </c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  <c r="AJ97" s="244"/>
      <c r="AK97" s="244"/>
      <c r="AL97" s="244"/>
      <c r="AM97" s="244"/>
      <c r="AN97" s="244"/>
      <c r="AO97" s="244"/>
      <c r="AP97" s="244"/>
      <c r="AQ97" s="244"/>
      <c r="AR97" s="244"/>
      <c r="AS97" s="244"/>
      <c r="AT97" s="244"/>
      <c r="AU97" s="244"/>
      <c r="AV97" s="244"/>
      <c r="AW97" s="244"/>
      <c r="AX97" s="244"/>
      <c r="AY97" s="244"/>
      <c r="AZ97" s="246">
        <f t="shared" si="42"/>
        <v>0</v>
      </c>
      <c r="BA97" s="244"/>
      <c r="BB97" s="244"/>
      <c r="BC97" s="246">
        <f t="shared" si="43"/>
        <v>0</v>
      </c>
      <c r="BD97" s="244"/>
      <c r="BE97" s="244"/>
      <c r="BF97" s="244"/>
      <c r="BG97" s="246">
        <f t="shared" si="44"/>
        <v>0</v>
      </c>
      <c r="BH97" s="244"/>
      <c r="BI97" s="244"/>
      <c r="BJ97" s="244"/>
      <c r="BK97" s="244"/>
      <c r="BL97" s="244"/>
      <c r="BM97" s="244"/>
      <c r="BN97" s="244"/>
      <c r="BO97" s="244"/>
      <c r="BP97" s="244"/>
      <c r="BQ97" s="244"/>
      <c r="BR97" s="247">
        <f t="shared" si="45"/>
        <v>0</v>
      </c>
      <c r="BS97" s="244"/>
      <c r="BT97" s="244"/>
      <c r="BU97" s="244"/>
      <c r="BV97" s="244"/>
      <c r="BW97" s="244"/>
      <c r="BX97" s="244"/>
      <c r="BY97" s="248">
        <f t="shared" si="15"/>
        <v>0</v>
      </c>
      <c r="BZ97" s="244">
        <f t="shared" si="46"/>
        <v>0</v>
      </c>
      <c r="CA97" s="244"/>
      <c r="CB97" s="244"/>
      <c r="CC97" s="221" t="s">
        <v>86</v>
      </c>
    </row>
    <row r="98" spans="1:81" ht="36">
      <c r="A98" s="158" t="s">
        <v>375</v>
      </c>
      <c r="B98" s="159" t="s">
        <v>376</v>
      </c>
      <c r="C98" s="243">
        <f t="shared" si="111"/>
        <v>0</v>
      </c>
      <c r="D98" s="249">
        <f>'ФОТ по ЗП-соц'!AG26*1000</f>
        <v>0</v>
      </c>
      <c r="E98" s="249">
        <f>'ФОТ по ЗП-соц'!AH26*1000</f>
        <v>0</v>
      </c>
      <c r="F98" s="249">
        <f>'ФОТ по ЗП-соц'!AI26*1000</f>
        <v>0</v>
      </c>
      <c r="G98" s="249">
        <f>'ФОТ по ЗП-соц'!AJ26*1000</f>
        <v>0</v>
      </c>
      <c r="H98" s="249">
        <f>'ФОТ по ЗП-соц'!AK26*1000</f>
        <v>0</v>
      </c>
      <c r="I98" s="249">
        <f>'ФОТ по ЗП-соц'!AL26*1000</f>
        <v>0</v>
      </c>
      <c r="J98" s="249">
        <f>'ФОТ по ЗП-соц'!AM26*1000</f>
        <v>0</v>
      </c>
      <c r="K98" s="249">
        <f>'ФОТ по ЗП-соц'!AN26*1000</f>
        <v>0</v>
      </c>
      <c r="L98" s="249">
        <f>'ФОТ по ЗП-соц'!AO26*1000</f>
        <v>0</v>
      </c>
      <c r="M98" s="249">
        <f>'ФОТ по ЗП-соц'!AP26*1000</f>
        <v>0</v>
      </c>
      <c r="N98" s="430"/>
      <c r="O98" s="249">
        <f>'ФОТ по ЗП-соц'!AF26*1000</f>
        <v>0</v>
      </c>
      <c r="P98" s="249"/>
      <c r="Q98" s="245">
        <f t="shared" si="4"/>
        <v>0</v>
      </c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  <c r="AJ98" s="244"/>
      <c r="AK98" s="244"/>
      <c r="AL98" s="244"/>
      <c r="AM98" s="244"/>
      <c r="AN98" s="244"/>
      <c r="AO98" s="244"/>
      <c r="AP98" s="244"/>
      <c r="AQ98" s="244"/>
      <c r="AR98" s="244"/>
      <c r="AS98" s="244"/>
      <c r="AT98" s="244"/>
      <c r="AU98" s="244"/>
      <c r="AV98" s="244"/>
      <c r="AW98" s="244"/>
      <c r="AX98" s="244"/>
      <c r="AY98" s="244"/>
      <c r="AZ98" s="246">
        <f t="shared" si="42"/>
        <v>0</v>
      </c>
      <c r="BA98" s="244"/>
      <c r="BB98" s="244"/>
      <c r="BC98" s="246">
        <f t="shared" si="43"/>
        <v>0</v>
      </c>
      <c r="BD98" s="244"/>
      <c r="BE98" s="244"/>
      <c r="BF98" s="244"/>
      <c r="BG98" s="246">
        <f t="shared" si="44"/>
        <v>0</v>
      </c>
      <c r="BH98" s="244"/>
      <c r="BI98" s="244"/>
      <c r="BJ98" s="244"/>
      <c r="BK98" s="244"/>
      <c r="BL98" s="244"/>
      <c r="BM98" s="244"/>
      <c r="BN98" s="244"/>
      <c r="BO98" s="244"/>
      <c r="BP98" s="244"/>
      <c r="BQ98" s="244"/>
      <c r="BR98" s="247">
        <f t="shared" si="45"/>
        <v>0</v>
      </c>
      <c r="BS98" s="244"/>
      <c r="BT98" s="244"/>
      <c r="BU98" s="244"/>
      <c r="BV98" s="244"/>
      <c r="BW98" s="244"/>
      <c r="BX98" s="244"/>
      <c r="BY98" s="248">
        <f t="shared" si="15"/>
        <v>0</v>
      </c>
      <c r="BZ98" s="244">
        <f t="shared" si="46"/>
        <v>0</v>
      </c>
      <c r="CA98" s="244"/>
      <c r="CB98" s="244"/>
      <c r="CC98" s="221" t="s">
        <v>86</v>
      </c>
    </row>
    <row r="99" spans="1:81" ht="54">
      <c r="A99" s="156" t="s">
        <v>377</v>
      </c>
      <c r="B99" s="161" t="s">
        <v>378</v>
      </c>
      <c r="C99" s="238">
        <f t="shared" si="111"/>
        <v>78300</v>
      </c>
      <c r="D99" s="239">
        <v>78300</v>
      </c>
      <c r="E99" s="239"/>
      <c r="F99" s="239"/>
      <c r="G99" s="239"/>
      <c r="H99" s="239"/>
      <c r="I99" s="239"/>
      <c r="J99" s="239"/>
      <c r="K99" s="239"/>
      <c r="L99" s="239"/>
      <c r="M99" s="239"/>
      <c r="N99" s="429"/>
      <c r="O99" s="239"/>
      <c r="P99" s="239"/>
      <c r="Q99" s="240">
        <f t="shared" ref="Q99:Q153" si="122">SUM(R99:AY99)</f>
        <v>0</v>
      </c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239"/>
      <c r="AX99" s="239"/>
      <c r="AY99" s="239"/>
      <c r="AZ99" s="241">
        <f t="shared" si="42"/>
        <v>0</v>
      </c>
      <c r="BA99" s="239"/>
      <c r="BB99" s="239"/>
      <c r="BC99" s="241">
        <f t="shared" si="43"/>
        <v>0</v>
      </c>
      <c r="BD99" s="239"/>
      <c r="BE99" s="239"/>
      <c r="BF99" s="239"/>
      <c r="BG99" s="241">
        <f t="shared" si="44"/>
        <v>12328</v>
      </c>
      <c r="BH99" s="239"/>
      <c r="BI99" s="239">
        <v>12328</v>
      </c>
      <c r="BJ99" s="239"/>
      <c r="BK99" s="239"/>
      <c r="BL99" s="239"/>
      <c r="BM99" s="239"/>
      <c r="BN99" s="239"/>
      <c r="BO99" s="239"/>
      <c r="BP99" s="239"/>
      <c r="BQ99" s="239"/>
      <c r="BR99" s="242">
        <f t="shared" si="45"/>
        <v>0</v>
      </c>
      <c r="BS99" s="239"/>
      <c r="BT99" s="239"/>
      <c r="BU99" s="239"/>
      <c r="BV99" s="239"/>
      <c r="BW99" s="239"/>
      <c r="BX99" s="239"/>
      <c r="BY99" s="250">
        <f t="shared" si="15"/>
        <v>90628</v>
      </c>
      <c r="BZ99" s="239">
        <f t="shared" si="46"/>
        <v>0</v>
      </c>
      <c r="CA99" s="239"/>
      <c r="CB99" s="239"/>
      <c r="CC99" s="221" t="s">
        <v>86</v>
      </c>
    </row>
    <row r="100" spans="1:81" ht="36">
      <c r="A100" s="156" t="s">
        <v>379</v>
      </c>
      <c r="B100" s="161" t="s">
        <v>380</v>
      </c>
      <c r="C100" s="238">
        <f t="shared" si="111"/>
        <v>9935065</v>
      </c>
      <c r="D100" s="239">
        <f>ROUND(D76*0.302,2)+30.57</f>
        <v>8305936.8900000006</v>
      </c>
      <c r="E100" s="239">
        <f t="shared" ref="E100:O100" si="123">ROUND(E76*0.302,2)</f>
        <v>0</v>
      </c>
      <c r="F100" s="239">
        <f t="shared" si="123"/>
        <v>0</v>
      </c>
      <c r="G100" s="239">
        <f t="shared" si="123"/>
        <v>0</v>
      </c>
      <c r="H100" s="239">
        <f t="shared" si="123"/>
        <v>0</v>
      </c>
      <c r="I100" s="239">
        <f t="shared" si="123"/>
        <v>0</v>
      </c>
      <c r="J100" s="239">
        <f t="shared" si="123"/>
        <v>0</v>
      </c>
      <c r="K100" s="239">
        <f t="shared" si="123"/>
        <v>0</v>
      </c>
      <c r="L100" s="239">
        <f t="shared" si="123"/>
        <v>0</v>
      </c>
      <c r="M100" s="239">
        <f t="shared" si="123"/>
        <v>0</v>
      </c>
      <c r="N100" s="429">
        <f t="shared" si="123"/>
        <v>585157.6</v>
      </c>
      <c r="O100" s="239">
        <f t="shared" si="123"/>
        <v>1043970.51</v>
      </c>
      <c r="P100" s="239"/>
      <c r="Q100" s="240">
        <f t="shared" si="122"/>
        <v>0</v>
      </c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239"/>
      <c r="AX100" s="239"/>
      <c r="AY100" s="239"/>
      <c r="AZ100" s="241">
        <f t="shared" si="42"/>
        <v>0</v>
      </c>
      <c r="BA100" s="239"/>
      <c r="BB100" s="239"/>
      <c r="BC100" s="241">
        <f t="shared" si="43"/>
        <v>0</v>
      </c>
      <c r="BD100" s="239"/>
      <c r="BE100" s="239"/>
      <c r="BF100" s="239"/>
      <c r="BG100" s="241">
        <f t="shared" si="44"/>
        <v>4191120</v>
      </c>
      <c r="BH100" s="239"/>
      <c r="BI100" s="239">
        <f>ROUND(BI76*0.302,2)+0.29</f>
        <v>4054350.22</v>
      </c>
      <c r="BJ100" s="239"/>
      <c r="BK100" s="239"/>
      <c r="BL100" s="239"/>
      <c r="BM100" s="239">
        <f>ROUND(BM76*0.302,2)-0.05</f>
        <v>136769.78</v>
      </c>
      <c r="BN100" s="239"/>
      <c r="BO100" s="239"/>
      <c r="BP100" s="239"/>
      <c r="BQ100" s="239"/>
      <c r="BR100" s="242">
        <f t="shared" si="45"/>
        <v>0</v>
      </c>
      <c r="BS100" s="239"/>
      <c r="BT100" s="239"/>
      <c r="BU100" s="239"/>
      <c r="BV100" s="239"/>
      <c r="BW100" s="239"/>
      <c r="BX100" s="239"/>
      <c r="BY100" s="250">
        <f t="shared" ref="BY100:BY153" si="124">SUM(C100,Q100,AZ100,BC100,BG100)</f>
        <v>14126185</v>
      </c>
      <c r="BZ100" s="239">
        <f t="shared" ref="BZ100:BZ153" si="125">SUM(CA100:CB100)</f>
        <v>0</v>
      </c>
      <c r="CA100" s="239"/>
      <c r="CB100" s="239"/>
      <c r="CC100" s="221" t="s">
        <v>86</v>
      </c>
    </row>
    <row r="101" spans="1:81" ht="54">
      <c r="A101" s="156" t="s">
        <v>381</v>
      </c>
      <c r="B101" s="161" t="s">
        <v>382</v>
      </c>
      <c r="C101" s="238">
        <f t="shared" si="111"/>
        <v>0</v>
      </c>
      <c r="D101" s="239"/>
      <c r="E101" s="239"/>
      <c r="F101" s="239"/>
      <c r="G101" s="239"/>
      <c r="H101" s="239"/>
      <c r="I101" s="239"/>
      <c r="J101" s="239"/>
      <c r="K101" s="239"/>
      <c r="L101" s="239"/>
      <c r="M101" s="239"/>
      <c r="N101" s="429"/>
      <c r="O101" s="239"/>
      <c r="P101" s="239"/>
      <c r="Q101" s="240">
        <f t="shared" si="122"/>
        <v>0</v>
      </c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239"/>
      <c r="AY101" s="239"/>
      <c r="AZ101" s="241">
        <f t="shared" si="42"/>
        <v>0</v>
      </c>
      <c r="BA101" s="239"/>
      <c r="BB101" s="239"/>
      <c r="BC101" s="241">
        <f t="shared" si="43"/>
        <v>0</v>
      </c>
      <c r="BD101" s="239"/>
      <c r="BE101" s="239"/>
      <c r="BF101" s="239"/>
      <c r="BG101" s="241">
        <f t="shared" si="44"/>
        <v>0</v>
      </c>
      <c r="BH101" s="239"/>
      <c r="BI101" s="239"/>
      <c r="BJ101" s="239"/>
      <c r="BK101" s="239"/>
      <c r="BL101" s="239"/>
      <c r="BM101" s="239"/>
      <c r="BN101" s="239"/>
      <c r="BO101" s="239"/>
      <c r="BP101" s="239"/>
      <c r="BQ101" s="239"/>
      <c r="BR101" s="242">
        <f t="shared" si="45"/>
        <v>0</v>
      </c>
      <c r="BS101" s="239"/>
      <c r="BT101" s="239"/>
      <c r="BU101" s="239"/>
      <c r="BV101" s="239"/>
      <c r="BW101" s="239"/>
      <c r="BX101" s="239"/>
      <c r="BY101" s="250">
        <f t="shared" si="124"/>
        <v>0</v>
      </c>
      <c r="BZ101" s="239">
        <f t="shared" si="125"/>
        <v>0</v>
      </c>
      <c r="CA101" s="239"/>
      <c r="CB101" s="239"/>
      <c r="CC101" s="221" t="s">
        <v>86</v>
      </c>
    </row>
    <row r="102" spans="1:81" ht="36">
      <c r="A102" s="156" t="s">
        <v>595</v>
      </c>
      <c r="B102" s="161"/>
      <c r="C102" s="238">
        <f t="shared" si="111"/>
        <v>0</v>
      </c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429"/>
      <c r="O102" s="239"/>
      <c r="P102" s="239"/>
      <c r="Q102" s="240">
        <f t="shared" si="122"/>
        <v>0</v>
      </c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239"/>
      <c r="AY102" s="239"/>
      <c r="AZ102" s="241">
        <f t="shared" ref="AZ102:AZ153" si="126">SUM(BA102:BB102)</f>
        <v>0</v>
      </c>
      <c r="BA102" s="239"/>
      <c r="BB102" s="239"/>
      <c r="BC102" s="241">
        <f t="shared" ref="BC102:BC153" si="127">SUM(BD102:BF102)</f>
        <v>0</v>
      </c>
      <c r="BD102" s="239"/>
      <c r="BE102" s="239"/>
      <c r="BF102" s="239"/>
      <c r="BG102" s="241">
        <f t="shared" ref="BG102:BG153" si="128">SUM(BI102:BR102,BV102:BX102)</f>
        <v>0</v>
      </c>
      <c r="BH102" s="239"/>
      <c r="BI102" s="239"/>
      <c r="BJ102" s="239"/>
      <c r="BK102" s="239"/>
      <c r="BL102" s="239"/>
      <c r="BM102" s="239"/>
      <c r="BN102" s="239"/>
      <c r="BO102" s="239"/>
      <c r="BP102" s="239"/>
      <c r="BQ102" s="239"/>
      <c r="BR102" s="242">
        <f t="shared" ref="BR102:BR153" si="129">SUM(BS102:BU102)</f>
        <v>0</v>
      </c>
      <c r="BS102" s="239"/>
      <c r="BT102" s="239"/>
      <c r="BU102" s="239"/>
      <c r="BV102" s="239"/>
      <c r="BW102" s="239"/>
      <c r="BX102" s="239"/>
      <c r="BY102" s="250">
        <f t="shared" si="124"/>
        <v>0</v>
      </c>
      <c r="BZ102" s="239">
        <f t="shared" si="125"/>
        <v>0</v>
      </c>
      <c r="CA102" s="239"/>
      <c r="CB102" s="239"/>
      <c r="CC102" s="221" t="s">
        <v>86</v>
      </c>
    </row>
    <row r="103" spans="1:81" ht="52.2">
      <c r="A103" s="267" t="s">
        <v>576</v>
      </c>
      <c r="B103" s="266" t="s">
        <v>577</v>
      </c>
      <c r="C103" s="207">
        <f t="shared" si="111"/>
        <v>0</v>
      </c>
      <c r="D103" s="237">
        <v>0</v>
      </c>
      <c r="E103" s="237"/>
      <c r="F103" s="237"/>
      <c r="G103" s="237"/>
      <c r="H103" s="237"/>
      <c r="I103" s="237"/>
      <c r="J103" s="237"/>
      <c r="K103" s="237"/>
      <c r="L103" s="237"/>
      <c r="M103" s="237"/>
      <c r="N103" s="427"/>
      <c r="O103" s="237"/>
      <c r="P103" s="237"/>
      <c r="Q103" s="236">
        <f t="shared" si="122"/>
        <v>0</v>
      </c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/>
      <c r="AY103" s="237"/>
      <c r="AZ103" s="213">
        <f t="shared" si="126"/>
        <v>0</v>
      </c>
      <c r="BA103" s="237"/>
      <c r="BB103" s="237"/>
      <c r="BC103" s="213">
        <f t="shared" si="127"/>
        <v>0</v>
      </c>
      <c r="BD103" s="237"/>
      <c r="BE103" s="237"/>
      <c r="BF103" s="237"/>
      <c r="BG103" s="213">
        <f t="shared" si="128"/>
        <v>0</v>
      </c>
      <c r="BH103" s="237"/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16">
        <f t="shared" si="129"/>
        <v>0</v>
      </c>
      <c r="BS103" s="237"/>
      <c r="BT103" s="237"/>
      <c r="BU103" s="237"/>
      <c r="BV103" s="237"/>
      <c r="BW103" s="237"/>
      <c r="BX103" s="237"/>
      <c r="BY103" s="213">
        <f t="shared" si="124"/>
        <v>0</v>
      </c>
      <c r="BZ103" s="237">
        <f t="shared" si="125"/>
        <v>0</v>
      </c>
      <c r="CA103" s="237"/>
      <c r="CB103" s="237"/>
      <c r="CC103" s="221" t="s">
        <v>86</v>
      </c>
    </row>
    <row r="104" spans="1:81" ht="34.799999999999997">
      <c r="A104" s="267" t="s">
        <v>578</v>
      </c>
      <c r="B104" s="266" t="s">
        <v>579</v>
      </c>
      <c r="C104" s="207">
        <f t="shared" si="111"/>
        <v>206293.43</v>
      </c>
      <c r="D104" s="237">
        <f>SUM(D105:D107)</f>
        <v>0</v>
      </c>
      <c r="E104" s="237">
        <f t="shared" ref="E104:P104" si="130">SUM(E105:E107)</f>
        <v>0</v>
      </c>
      <c r="F104" s="237">
        <f t="shared" si="130"/>
        <v>0</v>
      </c>
      <c r="G104" s="237">
        <f t="shared" si="130"/>
        <v>0</v>
      </c>
      <c r="H104" s="237">
        <f t="shared" si="130"/>
        <v>0</v>
      </c>
      <c r="I104" s="237">
        <f t="shared" si="130"/>
        <v>0</v>
      </c>
      <c r="J104" s="237">
        <f t="shared" si="130"/>
        <v>0</v>
      </c>
      <c r="K104" s="237">
        <f t="shared" si="130"/>
        <v>0</v>
      </c>
      <c r="L104" s="237">
        <f t="shared" si="130"/>
        <v>0</v>
      </c>
      <c r="M104" s="237">
        <f t="shared" si="130"/>
        <v>0</v>
      </c>
      <c r="N104" s="427">
        <f t="shared" si="130"/>
        <v>0</v>
      </c>
      <c r="O104" s="237">
        <f t="shared" si="130"/>
        <v>0</v>
      </c>
      <c r="P104" s="237">
        <f t="shared" si="130"/>
        <v>206293.43</v>
      </c>
      <c r="Q104" s="236">
        <f t="shared" si="122"/>
        <v>0</v>
      </c>
      <c r="R104" s="237">
        <f t="shared" ref="R104" si="131">SUM(R105:R107)</f>
        <v>0</v>
      </c>
      <c r="S104" s="237">
        <f t="shared" ref="S104" si="132">SUM(S105:S107)</f>
        <v>0</v>
      </c>
      <c r="T104" s="237">
        <f t="shared" ref="T104" si="133">SUM(T105:T107)</f>
        <v>0</v>
      </c>
      <c r="U104" s="237">
        <f t="shared" ref="U104" si="134">SUM(U105:U107)</f>
        <v>0</v>
      </c>
      <c r="V104" s="237">
        <f t="shared" ref="V104" si="135">SUM(V105:V107)</f>
        <v>0</v>
      </c>
      <c r="W104" s="237">
        <f t="shared" ref="W104" si="136">SUM(W105:W107)</f>
        <v>0</v>
      </c>
      <c r="X104" s="237">
        <f t="shared" ref="X104" si="137">SUM(X105:X107)</f>
        <v>0</v>
      </c>
      <c r="Y104" s="237">
        <f t="shared" ref="Y104" si="138">SUM(Y105:Y107)</f>
        <v>0</v>
      </c>
      <c r="Z104" s="237">
        <f t="shared" ref="Z104" si="139">SUM(Z105:Z107)</f>
        <v>0</v>
      </c>
      <c r="AA104" s="237">
        <f t="shared" ref="AA104" si="140">SUM(AA105:AA107)</f>
        <v>0</v>
      </c>
      <c r="AB104" s="237">
        <f t="shared" ref="AB104" si="141">SUM(AB105:AB107)</f>
        <v>0</v>
      </c>
      <c r="AC104" s="237">
        <f t="shared" ref="AC104" si="142">SUM(AC105:AC107)</f>
        <v>0</v>
      </c>
      <c r="AD104" s="237">
        <f t="shared" ref="AD104" si="143">SUM(AD105:AD107)</f>
        <v>0</v>
      </c>
      <c r="AE104" s="237">
        <f t="shared" ref="AE104" si="144">SUM(AE105:AE107)</f>
        <v>0</v>
      </c>
      <c r="AF104" s="237">
        <f t="shared" ref="AF104" si="145">SUM(AF105:AF107)</f>
        <v>0</v>
      </c>
      <c r="AG104" s="237">
        <f t="shared" ref="AG104" si="146">SUM(AG105:AG107)</f>
        <v>0</v>
      </c>
      <c r="AH104" s="237">
        <f t="shared" ref="AH104" si="147">SUM(AH105:AH107)</f>
        <v>0</v>
      </c>
      <c r="AI104" s="237">
        <f t="shared" ref="AI104" si="148">SUM(AI105:AI107)</f>
        <v>0</v>
      </c>
      <c r="AJ104" s="237">
        <f t="shared" ref="AJ104" si="149">SUM(AJ105:AJ107)</f>
        <v>0</v>
      </c>
      <c r="AK104" s="237">
        <f t="shared" ref="AK104" si="150">SUM(AK105:AK107)</f>
        <v>0</v>
      </c>
      <c r="AL104" s="237">
        <f t="shared" ref="AL104" si="151">SUM(AL105:AL107)</f>
        <v>0</v>
      </c>
      <c r="AM104" s="237">
        <f t="shared" ref="AM104" si="152">SUM(AM105:AM107)</f>
        <v>0</v>
      </c>
      <c r="AN104" s="237">
        <f t="shared" ref="AN104" si="153">SUM(AN105:AN107)</f>
        <v>0</v>
      </c>
      <c r="AO104" s="237">
        <f t="shared" ref="AO104" si="154">SUM(AO105:AO107)</f>
        <v>0</v>
      </c>
      <c r="AP104" s="237">
        <f t="shared" ref="AP104" si="155">SUM(AP105:AP107)</f>
        <v>0</v>
      </c>
      <c r="AQ104" s="237">
        <f t="shared" ref="AQ104" si="156">SUM(AQ105:AQ107)</f>
        <v>0</v>
      </c>
      <c r="AR104" s="237">
        <f t="shared" ref="AR104" si="157">SUM(AR105:AR107)</f>
        <v>0</v>
      </c>
      <c r="AS104" s="237">
        <f t="shared" ref="AS104" si="158">SUM(AS105:AS107)</f>
        <v>0</v>
      </c>
      <c r="AT104" s="237">
        <f t="shared" ref="AT104" si="159">SUM(AT105:AT107)</f>
        <v>0</v>
      </c>
      <c r="AU104" s="237">
        <f t="shared" ref="AU104" si="160">SUM(AU105:AU107)</f>
        <v>0</v>
      </c>
      <c r="AV104" s="237">
        <f t="shared" ref="AV104" si="161">SUM(AV105:AV107)</f>
        <v>0</v>
      </c>
      <c r="AW104" s="237">
        <f t="shared" ref="AW104" si="162">SUM(AW105:AW107)</f>
        <v>0</v>
      </c>
      <c r="AX104" s="237">
        <f t="shared" ref="AX104" si="163">SUM(AX105:AX107)</f>
        <v>0</v>
      </c>
      <c r="AY104" s="237">
        <f t="shared" ref="AY104" si="164">SUM(AY105:AY107)</f>
        <v>0</v>
      </c>
      <c r="AZ104" s="213">
        <f t="shared" si="126"/>
        <v>0</v>
      </c>
      <c r="BA104" s="237">
        <f t="shared" ref="BA104" si="165">SUM(BA105:BA107)</f>
        <v>0</v>
      </c>
      <c r="BB104" s="237">
        <f t="shared" ref="BB104" si="166">SUM(BB105:BB107)</f>
        <v>0</v>
      </c>
      <c r="BC104" s="213">
        <f t="shared" si="127"/>
        <v>0</v>
      </c>
      <c r="BD104" s="237">
        <f t="shared" ref="BD104" si="167">SUM(BD105:BD107)</f>
        <v>0</v>
      </c>
      <c r="BE104" s="237">
        <f t="shared" ref="BE104" si="168">SUM(BE105:BE107)</f>
        <v>0</v>
      </c>
      <c r="BF104" s="237">
        <f t="shared" ref="BF104" si="169">SUM(BF105:BF107)</f>
        <v>0</v>
      </c>
      <c r="BG104" s="213">
        <f t="shared" si="128"/>
        <v>257890</v>
      </c>
      <c r="BH104" s="237">
        <f t="shared" ref="BH104:BI104" si="170">SUM(BH105:BH107)</f>
        <v>0</v>
      </c>
      <c r="BI104" s="237">
        <f t="shared" si="170"/>
        <v>257890</v>
      </c>
      <c r="BJ104" s="237">
        <f t="shared" ref="BJ104" si="171">SUM(BJ105:BJ107)</f>
        <v>0</v>
      </c>
      <c r="BK104" s="237">
        <f t="shared" ref="BK104" si="172">SUM(BK105:BK107)</f>
        <v>0</v>
      </c>
      <c r="BL104" s="237">
        <f t="shared" ref="BL104" si="173">SUM(BL105:BL107)</f>
        <v>0</v>
      </c>
      <c r="BM104" s="237">
        <f t="shared" ref="BM104" si="174">SUM(BM105:BM107)</f>
        <v>0</v>
      </c>
      <c r="BN104" s="237">
        <f t="shared" ref="BN104" si="175">SUM(BN105:BN107)</f>
        <v>0</v>
      </c>
      <c r="BO104" s="237">
        <f t="shared" ref="BO104" si="176">SUM(BO105:BO107)</f>
        <v>0</v>
      </c>
      <c r="BP104" s="237">
        <f t="shared" ref="BP104" si="177">SUM(BP105:BP107)</f>
        <v>0</v>
      </c>
      <c r="BQ104" s="237">
        <f t="shared" ref="BQ104" si="178">SUM(BQ105:BQ107)</f>
        <v>0</v>
      </c>
      <c r="BR104" s="216">
        <f t="shared" si="129"/>
        <v>0</v>
      </c>
      <c r="BS104" s="237">
        <f t="shared" ref="BS104" si="179">SUM(BS105:BS107)</f>
        <v>0</v>
      </c>
      <c r="BT104" s="237">
        <f t="shared" ref="BT104" si="180">SUM(BT105:BT107)</f>
        <v>0</v>
      </c>
      <c r="BU104" s="237">
        <f t="shared" ref="BU104" si="181">SUM(BU105:BU107)</f>
        <v>0</v>
      </c>
      <c r="BV104" s="237">
        <f t="shared" ref="BV104" si="182">SUM(BV105:BV107)</f>
        <v>0</v>
      </c>
      <c r="BW104" s="237">
        <f t="shared" ref="BW104" si="183">SUM(BW105:BW107)</f>
        <v>0</v>
      </c>
      <c r="BX104" s="237">
        <f t="shared" ref="BX104" si="184">SUM(BX105:BX107)</f>
        <v>0</v>
      </c>
      <c r="BY104" s="213">
        <f t="shared" si="124"/>
        <v>464183.43</v>
      </c>
      <c r="BZ104" s="237">
        <f t="shared" si="125"/>
        <v>0</v>
      </c>
      <c r="CA104" s="237">
        <f t="shared" ref="CA104" si="185">SUM(CA105:CA107)</f>
        <v>0</v>
      </c>
      <c r="CB104" s="237">
        <f t="shared" ref="CB104" si="186">SUM(CB105:CB107)</f>
        <v>0</v>
      </c>
      <c r="CC104" s="221" t="s">
        <v>86</v>
      </c>
    </row>
    <row r="105" spans="1:81" ht="72">
      <c r="A105" s="156" t="s">
        <v>580</v>
      </c>
      <c r="B105" s="268" t="s">
        <v>581</v>
      </c>
      <c r="C105" s="238">
        <f t="shared" si="111"/>
        <v>104386.72</v>
      </c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429"/>
      <c r="O105" s="239"/>
      <c r="P105" s="276">
        <v>104386.72</v>
      </c>
      <c r="Q105" s="240">
        <f t="shared" si="122"/>
        <v>0</v>
      </c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239"/>
      <c r="AY105" s="239"/>
      <c r="AZ105" s="241">
        <f t="shared" si="126"/>
        <v>0</v>
      </c>
      <c r="BA105" s="239"/>
      <c r="BB105" s="239"/>
      <c r="BC105" s="241">
        <f t="shared" si="127"/>
        <v>0</v>
      </c>
      <c r="BD105" s="239"/>
      <c r="BE105" s="239"/>
      <c r="BF105" s="239"/>
      <c r="BG105" s="241">
        <f t="shared" si="128"/>
        <v>0</v>
      </c>
      <c r="BH105" s="239"/>
      <c r="BI105" s="239">
        <v>0</v>
      </c>
      <c r="BJ105" s="239"/>
      <c r="BK105" s="239"/>
      <c r="BL105" s="239"/>
      <c r="BM105" s="239"/>
      <c r="BN105" s="239"/>
      <c r="BO105" s="239"/>
      <c r="BP105" s="239"/>
      <c r="BQ105" s="239"/>
      <c r="BR105" s="242">
        <f t="shared" si="129"/>
        <v>0</v>
      </c>
      <c r="BS105" s="239"/>
      <c r="BT105" s="239"/>
      <c r="BU105" s="239"/>
      <c r="BV105" s="239"/>
      <c r="BW105" s="239"/>
      <c r="BX105" s="239"/>
      <c r="BY105" s="250">
        <f t="shared" si="124"/>
        <v>104386.72</v>
      </c>
      <c r="BZ105" s="239">
        <f t="shared" si="125"/>
        <v>0</v>
      </c>
      <c r="CA105" s="239"/>
      <c r="CB105" s="239"/>
      <c r="CC105" s="221" t="s">
        <v>86</v>
      </c>
    </row>
    <row r="106" spans="1:81" ht="108">
      <c r="A106" s="156" t="s">
        <v>582</v>
      </c>
      <c r="B106" s="268" t="s">
        <v>583</v>
      </c>
      <c r="C106" s="238">
        <f t="shared" si="111"/>
        <v>84000</v>
      </c>
      <c r="D106" s="239"/>
      <c r="E106" s="239"/>
      <c r="F106" s="239"/>
      <c r="G106" s="239"/>
      <c r="H106" s="239"/>
      <c r="I106" s="239"/>
      <c r="J106" s="239"/>
      <c r="K106" s="239"/>
      <c r="L106" s="239"/>
      <c r="M106" s="239"/>
      <c r="N106" s="429"/>
      <c r="O106" s="239"/>
      <c r="P106" s="276">
        <f>Налоги!C26</f>
        <v>84000</v>
      </c>
      <c r="Q106" s="240">
        <f t="shared" si="122"/>
        <v>0</v>
      </c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239"/>
      <c r="AY106" s="239"/>
      <c r="AZ106" s="241">
        <f t="shared" si="126"/>
        <v>0</v>
      </c>
      <c r="BA106" s="239"/>
      <c r="BB106" s="239"/>
      <c r="BC106" s="241">
        <f t="shared" si="127"/>
        <v>0</v>
      </c>
      <c r="BD106" s="239"/>
      <c r="BE106" s="239"/>
      <c r="BF106" s="239"/>
      <c r="BG106" s="241">
        <f t="shared" si="128"/>
        <v>5000</v>
      </c>
      <c r="BH106" s="239"/>
      <c r="BI106" s="239">
        <v>5000</v>
      </c>
      <c r="BJ106" s="239"/>
      <c r="BK106" s="239"/>
      <c r="BL106" s="239"/>
      <c r="BM106" s="239"/>
      <c r="BN106" s="239"/>
      <c r="BO106" s="239"/>
      <c r="BP106" s="239"/>
      <c r="BQ106" s="239"/>
      <c r="BR106" s="242">
        <f t="shared" si="129"/>
        <v>0</v>
      </c>
      <c r="BS106" s="239"/>
      <c r="BT106" s="239"/>
      <c r="BU106" s="239"/>
      <c r="BV106" s="239"/>
      <c r="BW106" s="239"/>
      <c r="BX106" s="239"/>
      <c r="BY106" s="250">
        <f t="shared" si="124"/>
        <v>89000</v>
      </c>
      <c r="BZ106" s="239">
        <f t="shared" si="125"/>
        <v>0</v>
      </c>
      <c r="CA106" s="239"/>
      <c r="CB106" s="239"/>
      <c r="CC106" s="221" t="s">
        <v>86</v>
      </c>
    </row>
    <row r="107" spans="1:81" ht="72">
      <c r="A107" s="156" t="s">
        <v>584</v>
      </c>
      <c r="B107" s="268" t="s">
        <v>585</v>
      </c>
      <c r="C107" s="238">
        <f t="shared" si="111"/>
        <v>17906.71</v>
      </c>
      <c r="D107" s="239"/>
      <c r="E107" s="239"/>
      <c r="F107" s="239"/>
      <c r="G107" s="239"/>
      <c r="H107" s="239"/>
      <c r="I107" s="239"/>
      <c r="J107" s="239"/>
      <c r="K107" s="239"/>
      <c r="L107" s="239"/>
      <c r="M107" s="239"/>
      <c r="N107" s="429"/>
      <c r="O107" s="239"/>
      <c r="P107" s="276">
        <v>17906.71</v>
      </c>
      <c r="Q107" s="240">
        <f t="shared" si="122"/>
        <v>0</v>
      </c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239"/>
      <c r="AX107" s="239"/>
      <c r="AY107" s="239"/>
      <c r="AZ107" s="241">
        <f t="shared" si="126"/>
        <v>0</v>
      </c>
      <c r="BA107" s="239"/>
      <c r="BB107" s="239"/>
      <c r="BC107" s="241">
        <f t="shared" si="127"/>
        <v>0</v>
      </c>
      <c r="BD107" s="239"/>
      <c r="BE107" s="239"/>
      <c r="BF107" s="239"/>
      <c r="BG107" s="241">
        <f t="shared" si="128"/>
        <v>252890</v>
      </c>
      <c r="BH107" s="239"/>
      <c r="BI107" s="239">
        <v>252890</v>
      </c>
      <c r="BJ107" s="239"/>
      <c r="BK107" s="239"/>
      <c r="BL107" s="239"/>
      <c r="BM107" s="239"/>
      <c r="BN107" s="239"/>
      <c r="BO107" s="239"/>
      <c r="BP107" s="239"/>
      <c r="BQ107" s="239"/>
      <c r="BR107" s="242">
        <f t="shared" si="129"/>
        <v>0</v>
      </c>
      <c r="BS107" s="239"/>
      <c r="BT107" s="239"/>
      <c r="BU107" s="239"/>
      <c r="BV107" s="239"/>
      <c r="BW107" s="239"/>
      <c r="BX107" s="239"/>
      <c r="BY107" s="250">
        <f t="shared" si="124"/>
        <v>270796.71000000002</v>
      </c>
      <c r="BZ107" s="239">
        <f t="shared" si="125"/>
        <v>0</v>
      </c>
      <c r="CA107" s="239"/>
      <c r="CB107" s="239"/>
      <c r="CC107" s="221" t="s">
        <v>86</v>
      </c>
    </row>
    <row r="108" spans="1:81" ht="87">
      <c r="A108" s="267" t="s">
        <v>586</v>
      </c>
      <c r="B108" s="266" t="s">
        <v>587</v>
      </c>
      <c r="C108" s="207">
        <f t="shared" si="111"/>
        <v>0</v>
      </c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427"/>
      <c r="O108" s="237"/>
      <c r="P108" s="237"/>
      <c r="Q108" s="236">
        <f t="shared" si="122"/>
        <v>0</v>
      </c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/>
      <c r="AY108" s="237"/>
      <c r="AZ108" s="213">
        <f t="shared" si="126"/>
        <v>0</v>
      </c>
      <c r="BA108" s="237"/>
      <c r="BB108" s="237"/>
      <c r="BC108" s="213">
        <f t="shared" si="127"/>
        <v>0</v>
      </c>
      <c r="BD108" s="237"/>
      <c r="BE108" s="237"/>
      <c r="BF108" s="237"/>
      <c r="BG108" s="213">
        <f t="shared" si="128"/>
        <v>0</v>
      </c>
      <c r="BH108" s="237"/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16">
        <f t="shared" si="129"/>
        <v>0</v>
      </c>
      <c r="BS108" s="237"/>
      <c r="BT108" s="237"/>
      <c r="BU108" s="237"/>
      <c r="BV108" s="237"/>
      <c r="BW108" s="237"/>
      <c r="BX108" s="237"/>
      <c r="BY108" s="213">
        <f t="shared" si="124"/>
        <v>0</v>
      </c>
      <c r="BZ108" s="237">
        <f t="shared" si="125"/>
        <v>0</v>
      </c>
      <c r="CA108" s="237"/>
      <c r="CB108" s="237"/>
      <c r="CC108" s="221" t="s">
        <v>86</v>
      </c>
    </row>
    <row r="109" spans="1:81" ht="52.2">
      <c r="A109" s="267" t="s">
        <v>588</v>
      </c>
      <c r="B109" s="266" t="s">
        <v>589</v>
      </c>
      <c r="C109" s="207">
        <f t="shared" si="111"/>
        <v>0</v>
      </c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427"/>
      <c r="O109" s="237"/>
      <c r="P109" s="237"/>
      <c r="Q109" s="236">
        <f t="shared" si="122"/>
        <v>0</v>
      </c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/>
      <c r="AY109" s="237"/>
      <c r="AZ109" s="213">
        <f t="shared" si="126"/>
        <v>0</v>
      </c>
      <c r="BA109" s="237"/>
      <c r="BB109" s="237"/>
      <c r="BC109" s="213">
        <f t="shared" si="127"/>
        <v>0</v>
      </c>
      <c r="BD109" s="237"/>
      <c r="BE109" s="237"/>
      <c r="BF109" s="237"/>
      <c r="BG109" s="213">
        <f t="shared" si="128"/>
        <v>0</v>
      </c>
      <c r="BH109" s="237"/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16">
        <f t="shared" si="129"/>
        <v>0</v>
      </c>
      <c r="BS109" s="237"/>
      <c r="BT109" s="237"/>
      <c r="BU109" s="237"/>
      <c r="BV109" s="237"/>
      <c r="BW109" s="237"/>
      <c r="BX109" s="237"/>
      <c r="BY109" s="213">
        <f t="shared" si="124"/>
        <v>0</v>
      </c>
      <c r="BZ109" s="237">
        <f t="shared" si="125"/>
        <v>0</v>
      </c>
      <c r="CA109" s="237"/>
      <c r="CB109" s="237"/>
      <c r="CC109" s="221" t="s">
        <v>86</v>
      </c>
    </row>
    <row r="110" spans="1:81" ht="52.2">
      <c r="A110" s="267" t="s">
        <v>596</v>
      </c>
      <c r="B110" s="266" t="s">
        <v>590</v>
      </c>
      <c r="C110" s="207">
        <f>SUM(D110:P110)</f>
        <v>18093818.969999999</v>
      </c>
      <c r="D110" s="237">
        <f>SUM(D111:D112,D116,D128:D132,D137,D143,D148:D150)</f>
        <v>11777870.52</v>
      </c>
      <c r="E110" s="237">
        <f t="shared" ref="E110:R110" si="187">SUM(E111:E112,E116,E128:E132,E137,E145:E150)</f>
        <v>0</v>
      </c>
      <c r="F110" s="237">
        <f t="shared" si="187"/>
        <v>0</v>
      </c>
      <c r="G110" s="237">
        <f t="shared" si="187"/>
        <v>0</v>
      </c>
      <c r="H110" s="237">
        <f t="shared" si="187"/>
        <v>0</v>
      </c>
      <c r="I110" s="237">
        <f t="shared" si="187"/>
        <v>0</v>
      </c>
      <c r="J110" s="237">
        <f t="shared" si="187"/>
        <v>0</v>
      </c>
      <c r="K110" s="237">
        <f t="shared" si="187"/>
        <v>0</v>
      </c>
      <c r="L110" s="237">
        <f t="shared" si="187"/>
        <v>0</v>
      </c>
      <c r="M110" s="237">
        <f t="shared" si="187"/>
        <v>0</v>
      </c>
      <c r="N110" s="427">
        <f t="shared" si="187"/>
        <v>4579163.84</v>
      </c>
      <c r="O110" s="237">
        <f t="shared" si="187"/>
        <v>1736784.6099999999</v>
      </c>
      <c r="P110" s="237">
        <f t="shared" si="187"/>
        <v>0</v>
      </c>
      <c r="Q110" s="236">
        <f t="shared" si="122"/>
        <v>0</v>
      </c>
      <c r="R110" s="237">
        <f t="shared" si="187"/>
        <v>0</v>
      </c>
      <c r="S110" s="237">
        <f t="shared" ref="S110" si="188">SUM(S111:S112,S116,S128:S132,S137,S145:S150)</f>
        <v>0</v>
      </c>
      <c r="T110" s="237">
        <f t="shared" ref="T110" si="189">SUM(T111:T112,T116,T128:T132,T137,T145:T150)</f>
        <v>0</v>
      </c>
      <c r="U110" s="237">
        <f t="shared" ref="U110" si="190">SUM(U111:U112,U116,U128:U132,U137,U145:U150)</f>
        <v>0</v>
      </c>
      <c r="V110" s="237">
        <f t="shared" ref="V110" si="191">SUM(V111:V112,V116,V128:V132,V137,V145:V150)</f>
        <v>0</v>
      </c>
      <c r="W110" s="237">
        <f t="shared" ref="W110" si="192">SUM(W111:W112,W116,W128:W132,W137,W145:W150)</f>
        <v>0</v>
      </c>
      <c r="X110" s="237">
        <f t="shared" ref="X110" si="193">SUM(X111:X112,X116,X128:X132,X137,X145:X150)</f>
        <v>0</v>
      </c>
      <c r="Y110" s="237">
        <f t="shared" ref="Y110" si="194">SUM(Y111:Y112,Y116,Y128:Y132,Y137,Y145:Y150)</f>
        <v>0</v>
      </c>
      <c r="Z110" s="237">
        <f t="shared" ref="Z110" si="195">SUM(Z111:Z112,Z116,Z128:Z132,Z137,Z145:Z150)</f>
        <v>0</v>
      </c>
      <c r="AA110" s="237">
        <f t="shared" ref="AA110" si="196">SUM(AA111:AA112,AA116,AA128:AA132,AA137,AA145:AA150)</f>
        <v>0</v>
      </c>
      <c r="AB110" s="237">
        <f t="shared" ref="AB110" si="197">SUM(AB111:AB112,AB116,AB128:AB132,AB137,AB145:AB150)</f>
        <v>0</v>
      </c>
      <c r="AC110" s="237">
        <f t="shared" ref="AC110" si="198">SUM(AC111:AC112,AC116,AC128:AC132,AC137,AC145:AC150)</f>
        <v>0</v>
      </c>
      <c r="AD110" s="237">
        <f t="shared" ref="AD110" si="199">SUM(AD111:AD112,AD116,AD128:AD132,AD137,AD145:AD150)</f>
        <v>0</v>
      </c>
      <c r="AE110" s="237">
        <f t="shared" ref="AE110" si="200">SUM(AE111:AE112,AE116,AE128:AE132,AE137,AE145:AE150)</f>
        <v>0</v>
      </c>
      <c r="AF110" s="237">
        <f t="shared" ref="AF110" si="201">SUM(AF111:AF112,AF116,AF128:AF132,AF137,AF145:AF150)</f>
        <v>0</v>
      </c>
      <c r="AG110" s="237">
        <f t="shared" ref="AG110" si="202">SUM(AG111:AG112,AG116,AG128:AG132,AG137,AG145:AG150)</f>
        <v>0</v>
      </c>
      <c r="AH110" s="237">
        <f t="shared" ref="AH110" si="203">SUM(AH111:AH112,AH116,AH128:AH132,AH137,AH145:AH150)</f>
        <v>0</v>
      </c>
      <c r="AI110" s="237">
        <f t="shared" ref="AI110" si="204">SUM(AI111:AI112,AI116,AI128:AI132,AI137,AI145:AI150)</f>
        <v>0</v>
      </c>
      <c r="AJ110" s="237">
        <f t="shared" ref="AJ110" si="205">SUM(AJ111:AJ112,AJ116,AJ128:AJ132,AJ137,AJ145:AJ150)</f>
        <v>0</v>
      </c>
      <c r="AK110" s="237">
        <f t="shared" ref="AK110" si="206">SUM(AK111:AK112,AK116,AK128:AK132,AK137,AK145:AK150)</f>
        <v>0</v>
      </c>
      <c r="AL110" s="237">
        <f t="shared" ref="AL110" si="207">SUM(AL111:AL112,AL116,AL128:AL132,AL137,AL145:AL150)</f>
        <v>0</v>
      </c>
      <c r="AM110" s="237">
        <f t="shared" ref="AM110" si="208">SUM(AM111:AM112,AM116,AM128:AM132,AM137,AM145:AM150)</f>
        <v>0</v>
      </c>
      <c r="AN110" s="237">
        <f t="shared" ref="AN110" si="209">SUM(AN111:AN112,AN116,AN128:AN132,AN137,AN145:AN150)</f>
        <v>0</v>
      </c>
      <c r="AO110" s="237">
        <f t="shared" ref="AO110" si="210">SUM(AO111:AO112,AO116,AO128:AO132,AO137,AO145:AO150)</f>
        <v>0</v>
      </c>
      <c r="AP110" s="237">
        <f t="shared" ref="AP110" si="211">SUM(AP111:AP112,AP116,AP128:AP132,AP137,AP145:AP150)</f>
        <v>0</v>
      </c>
      <c r="AQ110" s="237">
        <f t="shared" ref="AQ110" si="212">SUM(AQ111:AQ112,AQ116,AQ128:AQ132,AQ137,AQ145:AQ150)</f>
        <v>0</v>
      </c>
      <c r="AR110" s="237">
        <f t="shared" ref="AR110" si="213">SUM(AR111:AR112,AR116,AR128:AR132,AR137,AR145:AR150)</f>
        <v>0</v>
      </c>
      <c r="AS110" s="237">
        <f t="shared" ref="AS110" si="214">SUM(AS111:AS112,AS116,AS128:AS132,AS137,AS145:AS150)</f>
        <v>0</v>
      </c>
      <c r="AT110" s="237">
        <f t="shared" ref="AT110" si="215">SUM(AT111:AT112,AT116,AT128:AT132,AT137,AT145:AT150)</f>
        <v>0</v>
      </c>
      <c r="AU110" s="237">
        <f t="shared" ref="AU110" si="216">SUM(AU111:AU112,AU116,AU128:AU132,AU137,AU145:AU150)</f>
        <v>0</v>
      </c>
      <c r="AV110" s="237">
        <f t="shared" ref="AV110" si="217">SUM(AV111:AV112,AV116,AV128:AV132,AV137,AV145:AV150)</f>
        <v>0</v>
      </c>
      <c r="AW110" s="237">
        <f t="shared" ref="AW110" si="218">SUM(AW111:AW112,AW116,AW128:AW132,AW137,AW145:AW150)</f>
        <v>0</v>
      </c>
      <c r="AX110" s="237">
        <f t="shared" ref="AX110" si="219">SUM(AX111:AX112,AX116,AX128:AX132,AX137,AX145:AX150)</f>
        <v>0</v>
      </c>
      <c r="AY110" s="237">
        <f t="shared" ref="AY110:BB110" si="220">SUM(AY111:AY112,AY116,AY128:AY132,AY137,AY145:AY150)</f>
        <v>0</v>
      </c>
      <c r="AZ110" s="213">
        <f t="shared" si="126"/>
        <v>0</v>
      </c>
      <c r="BA110" s="237">
        <f t="shared" si="220"/>
        <v>0</v>
      </c>
      <c r="BB110" s="237">
        <f t="shared" si="220"/>
        <v>0</v>
      </c>
      <c r="BC110" s="213">
        <f t="shared" si="127"/>
        <v>0</v>
      </c>
      <c r="BD110" s="237">
        <f t="shared" ref="BD110:BF110" si="221">SUM(BD111:BD112,BD116,BD128:BD132,BD137,BD145:BD150)</f>
        <v>0</v>
      </c>
      <c r="BE110" s="237">
        <f t="shared" ref="BE110" si="222">SUM(BE111:BE112,BE116,BE128:BE132,BE137,BE145:BE150)</f>
        <v>0</v>
      </c>
      <c r="BF110" s="237">
        <f t="shared" si="221"/>
        <v>0</v>
      </c>
      <c r="BG110" s="213">
        <f t="shared" si="128"/>
        <v>24329382</v>
      </c>
      <c r="BH110" s="237">
        <f t="shared" ref="BH110:BI110" si="223">SUM(BH111:BH112,BH116,BH128:BH132,BH137,BH145:BH150)</f>
        <v>0</v>
      </c>
      <c r="BI110" s="237">
        <f t="shared" si="223"/>
        <v>22519032</v>
      </c>
      <c r="BJ110" s="237">
        <f t="shared" ref="BJ110" si="224">SUM(BJ111:BJ112,BJ116,BJ128:BJ132,BJ137,BJ145:BJ150)</f>
        <v>0</v>
      </c>
      <c r="BK110" s="237">
        <f t="shared" ref="BK110" si="225">SUM(BK111:BK112,BK116,BK128:BK132,BK137,BK145:BK150)</f>
        <v>0</v>
      </c>
      <c r="BL110" s="237">
        <f t="shared" ref="BL110" si="226">SUM(BL111:BL112,BL116,BL128:BL132,BL137,BL145:BL150)</f>
        <v>0</v>
      </c>
      <c r="BM110" s="237">
        <f t="shared" ref="BM110" si="227">SUM(BM111:BM112,BM116,BM128:BM132,BM137,BM145:BM150)</f>
        <v>17350</v>
      </c>
      <c r="BN110" s="237">
        <f t="shared" ref="BN110" si="228">SUM(BN111:BN112,BN116,BN128:BN132,BN137,BN145:BN150)</f>
        <v>0</v>
      </c>
      <c r="BO110" s="237">
        <f t="shared" ref="BO110" si="229">SUM(BO111:BO112,BO116,BO128:BO132,BO137,BO145:BO150)</f>
        <v>0</v>
      </c>
      <c r="BP110" s="237">
        <f t="shared" ref="BP110" si="230">SUM(BP111:BP112,BP116,BP128:BP132,BP137,BP145:BP150)</f>
        <v>0</v>
      </c>
      <c r="BQ110" s="237">
        <f t="shared" ref="BQ110:BS110" si="231">SUM(BQ111:BQ112,BQ116,BQ128:BQ132,BQ137,BQ145:BQ150)</f>
        <v>93000</v>
      </c>
      <c r="BR110" s="216">
        <f t="shared" si="129"/>
        <v>1700000</v>
      </c>
      <c r="BS110" s="237">
        <f t="shared" si="231"/>
        <v>1350000</v>
      </c>
      <c r="BT110" s="237">
        <f t="shared" ref="BT110" si="232">SUM(BT111:BT112,BT116,BT128:BT132,BT137,BT145:BT150)</f>
        <v>84000</v>
      </c>
      <c r="BU110" s="237">
        <f t="shared" ref="BU110" si="233">SUM(BU111:BU112,BU116,BU128:BU132,BU137,BU145:BU150)</f>
        <v>266000</v>
      </c>
      <c r="BV110" s="237">
        <f t="shared" ref="BV110" si="234">SUM(BV111:BV112,BV116,BV128:BV132,BV137,BV145:BV150)</f>
        <v>0</v>
      </c>
      <c r="BW110" s="237">
        <f t="shared" ref="BW110" si="235">SUM(BW111:BW112,BW116,BW128:BW132,BW137,BW145:BW150)</f>
        <v>0</v>
      </c>
      <c r="BX110" s="237">
        <f t="shared" ref="BX110" si="236">SUM(BX111:BX112,BX116,BX128:BX132,BX137,BX145:BX150)</f>
        <v>0</v>
      </c>
      <c r="BY110" s="213">
        <f t="shared" si="124"/>
        <v>42423200.969999999</v>
      </c>
      <c r="BZ110" s="237">
        <f t="shared" si="125"/>
        <v>0</v>
      </c>
      <c r="CA110" s="237">
        <f t="shared" ref="CA110" si="237">SUM(CA111:CA112,CA116,CA128:CA132,CA137,CA145:CA150)</f>
        <v>0</v>
      </c>
      <c r="CB110" s="237">
        <f t="shared" ref="CB110" si="238">SUM(CB111:CB112,CB116,CB128:CB132,CB137,CB145:CB150)</f>
        <v>0</v>
      </c>
      <c r="CC110" s="221" t="s">
        <v>86</v>
      </c>
    </row>
    <row r="111" spans="1:81" ht="18">
      <c r="A111" s="156" t="s">
        <v>383</v>
      </c>
      <c r="B111" s="161" t="s">
        <v>384</v>
      </c>
      <c r="C111" s="238">
        <f t="shared" si="111"/>
        <v>25910</v>
      </c>
      <c r="D111" s="239"/>
      <c r="E111" s="239"/>
      <c r="F111" s="239"/>
      <c r="G111" s="239"/>
      <c r="H111" s="239"/>
      <c r="I111" s="239"/>
      <c r="J111" s="239"/>
      <c r="K111" s="239"/>
      <c r="L111" s="239"/>
      <c r="M111" s="239"/>
      <c r="N111" s="429"/>
      <c r="O111" s="276">
        <v>25910</v>
      </c>
      <c r="P111" s="239"/>
      <c r="Q111" s="240">
        <f t="shared" si="122"/>
        <v>0</v>
      </c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239"/>
      <c r="AX111" s="239"/>
      <c r="AY111" s="239"/>
      <c r="AZ111" s="241">
        <f t="shared" si="126"/>
        <v>0</v>
      </c>
      <c r="BA111" s="239"/>
      <c r="BB111" s="239"/>
      <c r="BC111" s="241">
        <f t="shared" si="127"/>
        <v>0</v>
      </c>
      <c r="BD111" s="239"/>
      <c r="BE111" s="239"/>
      <c r="BF111" s="239"/>
      <c r="BG111" s="241">
        <f t="shared" si="128"/>
        <v>61626.5</v>
      </c>
      <c r="BH111" s="239"/>
      <c r="BI111" s="239">
        <v>61626.5</v>
      </c>
      <c r="BJ111" s="239"/>
      <c r="BK111" s="239"/>
      <c r="BL111" s="239"/>
      <c r="BM111" s="239"/>
      <c r="BN111" s="239"/>
      <c r="BO111" s="239"/>
      <c r="BP111" s="239"/>
      <c r="BQ111" s="239"/>
      <c r="BR111" s="242">
        <f t="shared" si="129"/>
        <v>0</v>
      </c>
      <c r="BS111" s="239"/>
      <c r="BT111" s="239"/>
      <c r="BU111" s="239"/>
      <c r="BV111" s="239"/>
      <c r="BW111" s="239"/>
      <c r="BX111" s="239"/>
      <c r="BY111" s="250">
        <f t="shared" si="124"/>
        <v>87536.5</v>
      </c>
      <c r="BZ111" s="239">
        <f t="shared" si="125"/>
        <v>0</v>
      </c>
      <c r="CA111" s="239"/>
      <c r="CB111" s="239"/>
      <c r="CC111" s="221" t="s">
        <v>86</v>
      </c>
    </row>
    <row r="112" spans="1:81" ht="18">
      <c r="A112" s="156" t="s">
        <v>385</v>
      </c>
      <c r="B112" s="161" t="s">
        <v>386</v>
      </c>
      <c r="C112" s="238">
        <f t="shared" si="111"/>
        <v>264024</v>
      </c>
      <c r="D112" s="239">
        <f>SUM(D114:D115)</f>
        <v>0</v>
      </c>
      <c r="E112" s="239">
        <f t="shared" ref="E112:BP112" si="239">SUM(E114:E115)</f>
        <v>0</v>
      </c>
      <c r="F112" s="239">
        <f t="shared" si="239"/>
        <v>0</v>
      </c>
      <c r="G112" s="239">
        <f t="shared" si="239"/>
        <v>0</v>
      </c>
      <c r="H112" s="239">
        <f t="shared" si="239"/>
        <v>0</v>
      </c>
      <c r="I112" s="239">
        <f t="shared" si="239"/>
        <v>0</v>
      </c>
      <c r="J112" s="239">
        <f t="shared" si="239"/>
        <v>0</v>
      </c>
      <c r="K112" s="239">
        <f t="shared" si="239"/>
        <v>0</v>
      </c>
      <c r="L112" s="239">
        <f t="shared" si="239"/>
        <v>0</v>
      </c>
      <c r="M112" s="239">
        <f t="shared" si="239"/>
        <v>0</v>
      </c>
      <c r="N112" s="429">
        <f t="shared" si="239"/>
        <v>0</v>
      </c>
      <c r="O112" s="239">
        <f t="shared" si="239"/>
        <v>264024</v>
      </c>
      <c r="P112" s="239">
        <f t="shared" si="239"/>
        <v>0</v>
      </c>
      <c r="Q112" s="240">
        <f t="shared" si="122"/>
        <v>0</v>
      </c>
      <c r="R112" s="239">
        <f t="shared" si="239"/>
        <v>0</v>
      </c>
      <c r="S112" s="239">
        <f t="shared" si="239"/>
        <v>0</v>
      </c>
      <c r="T112" s="239">
        <f t="shared" si="239"/>
        <v>0</v>
      </c>
      <c r="U112" s="239">
        <f t="shared" si="239"/>
        <v>0</v>
      </c>
      <c r="V112" s="239">
        <f t="shared" si="239"/>
        <v>0</v>
      </c>
      <c r="W112" s="239">
        <f t="shared" si="239"/>
        <v>0</v>
      </c>
      <c r="X112" s="239">
        <f t="shared" si="239"/>
        <v>0</v>
      </c>
      <c r="Y112" s="239">
        <f t="shared" si="239"/>
        <v>0</v>
      </c>
      <c r="Z112" s="239">
        <f t="shared" si="239"/>
        <v>0</v>
      </c>
      <c r="AA112" s="239">
        <f t="shared" si="239"/>
        <v>0</v>
      </c>
      <c r="AB112" s="239">
        <f t="shared" si="239"/>
        <v>0</v>
      </c>
      <c r="AC112" s="239">
        <f t="shared" si="239"/>
        <v>0</v>
      </c>
      <c r="AD112" s="239">
        <f t="shared" si="239"/>
        <v>0</v>
      </c>
      <c r="AE112" s="239">
        <f t="shared" si="239"/>
        <v>0</v>
      </c>
      <c r="AF112" s="239">
        <f t="shared" si="239"/>
        <v>0</v>
      </c>
      <c r="AG112" s="239">
        <f t="shared" si="239"/>
        <v>0</v>
      </c>
      <c r="AH112" s="239">
        <f t="shared" si="239"/>
        <v>0</v>
      </c>
      <c r="AI112" s="239">
        <f t="shared" si="239"/>
        <v>0</v>
      </c>
      <c r="AJ112" s="239">
        <f t="shared" si="239"/>
        <v>0</v>
      </c>
      <c r="AK112" s="239">
        <f t="shared" si="239"/>
        <v>0</v>
      </c>
      <c r="AL112" s="239">
        <f t="shared" si="239"/>
        <v>0</v>
      </c>
      <c r="AM112" s="239">
        <f t="shared" si="239"/>
        <v>0</v>
      </c>
      <c r="AN112" s="239">
        <f t="shared" si="239"/>
        <v>0</v>
      </c>
      <c r="AO112" s="239">
        <f t="shared" si="239"/>
        <v>0</v>
      </c>
      <c r="AP112" s="239">
        <f t="shared" si="239"/>
        <v>0</v>
      </c>
      <c r="AQ112" s="239">
        <f t="shared" si="239"/>
        <v>0</v>
      </c>
      <c r="AR112" s="239">
        <f t="shared" si="239"/>
        <v>0</v>
      </c>
      <c r="AS112" s="239">
        <f t="shared" si="239"/>
        <v>0</v>
      </c>
      <c r="AT112" s="239">
        <f t="shared" si="239"/>
        <v>0</v>
      </c>
      <c r="AU112" s="239">
        <f t="shared" si="239"/>
        <v>0</v>
      </c>
      <c r="AV112" s="239">
        <f t="shared" si="239"/>
        <v>0</v>
      </c>
      <c r="AW112" s="239">
        <f t="shared" si="239"/>
        <v>0</v>
      </c>
      <c r="AX112" s="239">
        <f t="shared" si="239"/>
        <v>0</v>
      </c>
      <c r="AY112" s="239">
        <f t="shared" si="239"/>
        <v>0</v>
      </c>
      <c r="AZ112" s="241">
        <f t="shared" si="126"/>
        <v>0</v>
      </c>
      <c r="BA112" s="239">
        <f t="shared" si="239"/>
        <v>0</v>
      </c>
      <c r="BB112" s="239">
        <f t="shared" si="239"/>
        <v>0</v>
      </c>
      <c r="BC112" s="241">
        <f t="shared" si="127"/>
        <v>0</v>
      </c>
      <c r="BD112" s="239">
        <f t="shared" si="239"/>
        <v>0</v>
      </c>
      <c r="BE112" s="239">
        <f t="shared" si="239"/>
        <v>0</v>
      </c>
      <c r="BF112" s="239">
        <f t="shared" si="239"/>
        <v>0</v>
      </c>
      <c r="BG112" s="241">
        <f t="shared" si="128"/>
        <v>0</v>
      </c>
      <c r="BH112" s="239">
        <f t="shared" si="239"/>
        <v>0</v>
      </c>
      <c r="BI112" s="239">
        <f t="shared" si="239"/>
        <v>0</v>
      </c>
      <c r="BJ112" s="239">
        <f t="shared" si="239"/>
        <v>0</v>
      </c>
      <c r="BK112" s="239">
        <f t="shared" si="239"/>
        <v>0</v>
      </c>
      <c r="BL112" s="239">
        <f t="shared" si="239"/>
        <v>0</v>
      </c>
      <c r="BM112" s="239">
        <f t="shared" si="239"/>
        <v>0</v>
      </c>
      <c r="BN112" s="239">
        <f t="shared" si="239"/>
        <v>0</v>
      </c>
      <c r="BO112" s="239">
        <f t="shared" si="239"/>
        <v>0</v>
      </c>
      <c r="BP112" s="239">
        <f t="shared" si="239"/>
        <v>0</v>
      </c>
      <c r="BQ112" s="239">
        <f t="shared" ref="BQ112" si="240">SUM(BQ114:BQ115)</f>
        <v>0</v>
      </c>
      <c r="BR112" s="242">
        <f t="shared" si="129"/>
        <v>0</v>
      </c>
      <c r="BS112" s="239">
        <f t="shared" ref="BS112:BX112" si="241">SUM(BS114:BS115)</f>
        <v>0</v>
      </c>
      <c r="BT112" s="239">
        <f t="shared" si="241"/>
        <v>0</v>
      </c>
      <c r="BU112" s="239">
        <f t="shared" si="241"/>
        <v>0</v>
      </c>
      <c r="BV112" s="239">
        <f t="shared" si="241"/>
        <v>0</v>
      </c>
      <c r="BW112" s="239">
        <f t="shared" si="241"/>
        <v>0</v>
      </c>
      <c r="BX112" s="239">
        <f t="shared" si="241"/>
        <v>0</v>
      </c>
      <c r="BY112" s="250">
        <f t="shared" si="124"/>
        <v>264024</v>
      </c>
      <c r="BZ112" s="239">
        <f t="shared" si="125"/>
        <v>0</v>
      </c>
      <c r="CA112" s="239">
        <f t="shared" ref="CA112:CB112" si="242">SUM(CA114:CA115)</f>
        <v>0</v>
      </c>
      <c r="CB112" s="239">
        <f t="shared" si="242"/>
        <v>0</v>
      </c>
      <c r="CC112" s="221" t="s">
        <v>86</v>
      </c>
    </row>
    <row r="113" spans="1:81" ht="18">
      <c r="A113" s="158" t="s">
        <v>9</v>
      </c>
      <c r="B113" s="159"/>
      <c r="C113" s="251">
        <f t="shared" si="111"/>
        <v>0</v>
      </c>
      <c r="D113" s="252"/>
      <c r="E113" s="252"/>
      <c r="F113" s="252"/>
      <c r="G113" s="252"/>
      <c r="H113" s="252"/>
      <c r="I113" s="252"/>
      <c r="J113" s="252"/>
      <c r="K113" s="252"/>
      <c r="L113" s="252"/>
      <c r="M113" s="252"/>
      <c r="N113" s="431"/>
      <c r="O113" s="252"/>
      <c r="P113" s="252"/>
      <c r="Q113" s="245">
        <f t="shared" si="122"/>
        <v>0</v>
      </c>
      <c r="R113" s="252"/>
      <c r="S113" s="252"/>
      <c r="T113" s="252"/>
      <c r="U113" s="252"/>
      <c r="V113" s="252"/>
      <c r="W113" s="252"/>
      <c r="X113" s="252"/>
      <c r="Y113" s="252"/>
      <c r="Z113" s="252"/>
      <c r="AA113" s="252"/>
      <c r="AB113" s="252"/>
      <c r="AC113" s="252"/>
      <c r="AD113" s="252"/>
      <c r="AE113" s="252"/>
      <c r="AF113" s="252"/>
      <c r="AG113" s="252"/>
      <c r="AH113" s="252"/>
      <c r="AI113" s="252"/>
      <c r="AJ113" s="252"/>
      <c r="AK113" s="252"/>
      <c r="AL113" s="252"/>
      <c r="AM113" s="252"/>
      <c r="AN113" s="252"/>
      <c r="AO113" s="252"/>
      <c r="AP113" s="252"/>
      <c r="AQ113" s="252"/>
      <c r="AR113" s="252"/>
      <c r="AS113" s="252"/>
      <c r="AT113" s="252"/>
      <c r="AU113" s="252"/>
      <c r="AV113" s="252"/>
      <c r="AW113" s="252"/>
      <c r="AX113" s="252"/>
      <c r="AY113" s="252"/>
      <c r="AZ113" s="253">
        <f t="shared" si="126"/>
        <v>0</v>
      </c>
      <c r="BA113" s="252"/>
      <c r="BB113" s="252"/>
      <c r="BC113" s="253">
        <f t="shared" si="127"/>
        <v>0</v>
      </c>
      <c r="BD113" s="252"/>
      <c r="BE113" s="252"/>
      <c r="BF113" s="252"/>
      <c r="BG113" s="253">
        <f t="shared" si="128"/>
        <v>0</v>
      </c>
      <c r="BH113" s="252"/>
      <c r="BI113" s="252"/>
      <c r="BJ113" s="252"/>
      <c r="BK113" s="252"/>
      <c r="BL113" s="252"/>
      <c r="BM113" s="252"/>
      <c r="BN113" s="252"/>
      <c r="BO113" s="252"/>
      <c r="BP113" s="252"/>
      <c r="BQ113" s="252"/>
      <c r="BR113" s="254">
        <f t="shared" si="129"/>
        <v>0</v>
      </c>
      <c r="BS113" s="252"/>
      <c r="BT113" s="252"/>
      <c r="BU113" s="252"/>
      <c r="BV113" s="252"/>
      <c r="BW113" s="252"/>
      <c r="BX113" s="252"/>
      <c r="BY113" s="255">
        <f t="shared" si="124"/>
        <v>0</v>
      </c>
      <c r="BZ113" s="252">
        <f t="shared" si="125"/>
        <v>0</v>
      </c>
      <c r="CA113" s="252"/>
      <c r="CB113" s="252"/>
      <c r="CC113" s="221" t="s">
        <v>86</v>
      </c>
    </row>
    <row r="114" spans="1:81" ht="18">
      <c r="A114" s="162" t="s">
        <v>387</v>
      </c>
      <c r="B114" s="163" t="s">
        <v>388</v>
      </c>
      <c r="C114" s="251">
        <f t="shared" si="111"/>
        <v>264024</v>
      </c>
      <c r="D114" s="252"/>
      <c r="E114" s="252"/>
      <c r="F114" s="252"/>
      <c r="G114" s="252"/>
      <c r="H114" s="252"/>
      <c r="I114" s="252"/>
      <c r="J114" s="252"/>
      <c r="K114" s="252"/>
      <c r="L114" s="252"/>
      <c r="M114" s="252"/>
      <c r="N114" s="431"/>
      <c r="O114" s="252">
        <v>264024</v>
      </c>
      <c r="P114" s="252"/>
      <c r="Q114" s="245">
        <f t="shared" si="122"/>
        <v>0</v>
      </c>
      <c r="R114" s="252"/>
      <c r="S114" s="252"/>
      <c r="T114" s="252"/>
      <c r="U114" s="252"/>
      <c r="V114" s="252"/>
      <c r="W114" s="252"/>
      <c r="X114" s="252"/>
      <c r="Y114" s="252"/>
      <c r="Z114" s="252"/>
      <c r="AA114" s="252"/>
      <c r="AB114" s="252"/>
      <c r="AC114" s="252"/>
      <c r="AD114" s="252"/>
      <c r="AE114" s="252"/>
      <c r="AF114" s="252"/>
      <c r="AG114" s="252"/>
      <c r="AH114" s="252"/>
      <c r="AI114" s="252"/>
      <c r="AJ114" s="252"/>
      <c r="AK114" s="252"/>
      <c r="AL114" s="252"/>
      <c r="AM114" s="252"/>
      <c r="AN114" s="252"/>
      <c r="AO114" s="252"/>
      <c r="AP114" s="252"/>
      <c r="AQ114" s="252"/>
      <c r="AR114" s="252"/>
      <c r="AS114" s="252"/>
      <c r="AT114" s="252"/>
      <c r="AU114" s="252"/>
      <c r="AV114" s="252"/>
      <c r="AW114" s="252"/>
      <c r="AX114" s="252"/>
      <c r="AY114" s="252"/>
      <c r="AZ114" s="253">
        <f t="shared" si="126"/>
        <v>0</v>
      </c>
      <c r="BA114" s="252"/>
      <c r="BB114" s="252"/>
      <c r="BC114" s="253">
        <f t="shared" si="127"/>
        <v>0</v>
      </c>
      <c r="BD114" s="252"/>
      <c r="BE114" s="252"/>
      <c r="BF114" s="252"/>
      <c r="BG114" s="253">
        <f t="shared" si="128"/>
        <v>0</v>
      </c>
      <c r="BH114" s="252"/>
      <c r="BI114" s="252"/>
      <c r="BJ114" s="252"/>
      <c r="BK114" s="252"/>
      <c r="BL114" s="252"/>
      <c r="BM114" s="252"/>
      <c r="BN114" s="252"/>
      <c r="BO114" s="252"/>
      <c r="BP114" s="252"/>
      <c r="BQ114" s="252"/>
      <c r="BR114" s="254">
        <f t="shared" si="129"/>
        <v>0</v>
      </c>
      <c r="BS114" s="252"/>
      <c r="BT114" s="252"/>
      <c r="BU114" s="252"/>
      <c r="BV114" s="252"/>
      <c r="BW114" s="252"/>
      <c r="BX114" s="252"/>
      <c r="BY114" s="255">
        <f t="shared" si="124"/>
        <v>264024</v>
      </c>
      <c r="BZ114" s="252">
        <f t="shared" si="125"/>
        <v>0</v>
      </c>
      <c r="CA114" s="252"/>
      <c r="CB114" s="252"/>
      <c r="CC114" s="221" t="s">
        <v>86</v>
      </c>
    </row>
    <row r="115" spans="1:81" ht="36">
      <c r="A115" s="162" t="s">
        <v>626</v>
      </c>
      <c r="B115" s="163" t="s">
        <v>627</v>
      </c>
      <c r="C115" s="251">
        <f t="shared" si="111"/>
        <v>0</v>
      </c>
      <c r="D115" s="252"/>
      <c r="E115" s="252"/>
      <c r="F115" s="252"/>
      <c r="G115" s="252"/>
      <c r="H115" s="252"/>
      <c r="I115" s="252"/>
      <c r="J115" s="252"/>
      <c r="K115" s="252"/>
      <c r="L115" s="252"/>
      <c r="M115" s="252"/>
      <c r="N115" s="431"/>
      <c r="O115" s="277"/>
      <c r="P115" s="252"/>
      <c r="Q115" s="245">
        <f t="shared" si="122"/>
        <v>0</v>
      </c>
      <c r="R115" s="252"/>
      <c r="S115" s="252"/>
      <c r="T115" s="252"/>
      <c r="U115" s="252"/>
      <c r="V115" s="252"/>
      <c r="W115" s="252"/>
      <c r="X115" s="252"/>
      <c r="Y115" s="252"/>
      <c r="Z115" s="252"/>
      <c r="AA115" s="252"/>
      <c r="AB115" s="252"/>
      <c r="AC115" s="252"/>
      <c r="AD115" s="252"/>
      <c r="AE115" s="252"/>
      <c r="AF115" s="252"/>
      <c r="AG115" s="252"/>
      <c r="AH115" s="252"/>
      <c r="AI115" s="252"/>
      <c r="AJ115" s="252"/>
      <c r="AK115" s="252"/>
      <c r="AL115" s="252"/>
      <c r="AM115" s="252"/>
      <c r="AN115" s="252"/>
      <c r="AO115" s="252"/>
      <c r="AP115" s="252"/>
      <c r="AQ115" s="252"/>
      <c r="AR115" s="252"/>
      <c r="AS115" s="252"/>
      <c r="AT115" s="252"/>
      <c r="AU115" s="252"/>
      <c r="AV115" s="252"/>
      <c r="AW115" s="252"/>
      <c r="AX115" s="252"/>
      <c r="AY115" s="252"/>
      <c r="AZ115" s="253">
        <f t="shared" ref="AZ115" si="243">SUM(BA115:BB115)</f>
        <v>0</v>
      </c>
      <c r="BA115" s="252"/>
      <c r="BB115" s="252"/>
      <c r="BC115" s="253">
        <f t="shared" ref="BC115" si="244">SUM(BD115:BF115)</f>
        <v>0</v>
      </c>
      <c r="BD115" s="252"/>
      <c r="BE115" s="252"/>
      <c r="BF115" s="252"/>
      <c r="BG115" s="253">
        <f t="shared" ref="BG115" si="245">SUM(BI115:BR115,BV115:BX115)</f>
        <v>0</v>
      </c>
      <c r="BH115" s="252"/>
      <c r="BI115" s="252"/>
      <c r="BJ115" s="252"/>
      <c r="BK115" s="252"/>
      <c r="BL115" s="252"/>
      <c r="BM115" s="252"/>
      <c r="BN115" s="252"/>
      <c r="BO115" s="252"/>
      <c r="BP115" s="252"/>
      <c r="BQ115" s="252"/>
      <c r="BR115" s="254">
        <f t="shared" si="129"/>
        <v>0</v>
      </c>
      <c r="BS115" s="252"/>
      <c r="BT115" s="252"/>
      <c r="BU115" s="252"/>
      <c r="BV115" s="252"/>
      <c r="BW115" s="252"/>
      <c r="BX115" s="252"/>
      <c r="BY115" s="255">
        <f t="shared" ref="BY115" si="246">SUM(C115,Q115,AZ115,BC115,BG115)</f>
        <v>0</v>
      </c>
      <c r="BZ115" s="252">
        <f t="shared" ref="BZ115" si="247">SUM(CA115:CB115)</f>
        <v>0</v>
      </c>
      <c r="CA115" s="252"/>
      <c r="CB115" s="252"/>
      <c r="CC115" s="221" t="s">
        <v>86</v>
      </c>
    </row>
    <row r="116" spans="1:81" ht="18">
      <c r="A116" s="156" t="s">
        <v>389</v>
      </c>
      <c r="B116" s="161" t="s">
        <v>390</v>
      </c>
      <c r="C116" s="238">
        <f t="shared" si="111"/>
        <v>4579163.84</v>
      </c>
      <c r="D116" s="239">
        <f>SUM(D118,D124:D127)</f>
        <v>0</v>
      </c>
      <c r="E116" s="239">
        <f t="shared" ref="E116:CB116" si="248">SUM(E118,E124:E127)</f>
        <v>0</v>
      </c>
      <c r="F116" s="239">
        <f t="shared" si="248"/>
        <v>0</v>
      </c>
      <c r="G116" s="239">
        <f t="shared" si="248"/>
        <v>0</v>
      </c>
      <c r="H116" s="239">
        <f t="shared" si="248"/>
        <v>0</v>
      </c>
      <c r="I116" s="239">
        <f t="shared" si="248"/>
        <v>0</v>
      </c>
      <c r="J116" s="239">
        <f t="shared" si="248"/>
        <v>0</v>
      </c>
      <c r="K116" s="239">
        <f t="shared" si="248"/>
        <v>0</v>
      </c>
      <c r="L116" s="239">
        <f t="shared" si="248"/>
        <v>0</v>
      </c>
      <c r="M116" s="239">
        <f t="shared" si="248"/>
        <v>0</v>
      </c>
      <c r="N116" s="429">
        <f>SUM(N118,N124:N127)</f>
        <v>4579163.84</v>
      </c>
      <c r="O116" s="239">
        <f t="shared" si="248"/>
        <v>0</v>
      </c>
      <c r="P116" s="239">
        <f t="shared" si="248"/>
        <v>0</v>
      </c>
      <c r="Q116" s="240">
        <f t="shared" si="122"/>
        <v>0</v>
      </c>
      <c r="R116" s="239">
        <f t="shared" si="248"/>
        <v>0</v>
      </c>
      <c r="S116" s="239">
        <f t="shared" si="248"/>
        <v>0</v>
      </c>
      <c r="T116" s="239">
        <f t="shared" si="248"/>
        <v>0</v>
      </c>
      <c r="U116" s="239">
        <f t="shared" si="248"/>
        <v>0</v>
      </c>
      <c r="V116" s="239">
        <f t="shared" si="248"/>
        <v>0</v>
      </c>
      <c r="W116" s="239">
        <f t="shared" si="248"/>
        <v>0</v>
      </c>
      <c r="X116" s="239">
        <f t="shared" si="248"/>
        <v>0</v>
      </c>
      <c r="Y116" s="239">
        <f t="shared" si="248"/>
        <v>0</v>
      </c>
      <c r="Z116" s="239">
        <f t="shared" si="248"/>
        <v>0</v>
      </c>
      <c r="AA116" s="239">
        <f t="shared" si="248"/>
        <v>0</v>
      </c>
      <c r="AB116" s="239">
        <f t="shared" si="248"/>
        <v>0</v>
      </c>
      <c r="AC116" s="239">
        <f t="shared" si="248"/>
        <v>0</v>
      </c>
      <c r="AD116" s="239">
        <f t="shared" si="248"/>
        <v>0</v>
      </c>
      <c r="AE116" s="239">
        <f t="shared" si="248"/>
        <v>0</v>
      </c>
      <c r="AF116" s="239">
        <f t="shared" si="248"/>
        <v>0</v>
      </c>
      <c r="AG116" s="239">
        <f t="shared" si="248"/>
        <v>0</v>
      </c>
      <c r="AH116" s="239">
        <f t="shared" si="248"/>
        <v>0</v>
      </c>
      <c r="AI116" s="239">
        <f t="shared" si="248"/>
        <v>0</v>
      </c>
      <c r="AJ116" s="239">
        <f t="shared" si="248"/>
        <v>0</v>
      </c>
      <c r="AK116" s="239">
        <f t="shared" si="248"/>
        <v>0</v>
      </c>
      <c r="AL116" s="239">
        <f t="shared" si="248"/>
        <v>0</v>
      </c>
      <c r="AM116" s="239">
        <f t="shared" si="248"/>
        <v>0</v>
      </c>
      <c r="AN116" s="239">
        <f t="shared" si="248"/>
        <v>0</v>
      </c>
      <c r="AO116" s="239">
        <f t="shared" si="248"/>
        <v>0</v>
      </c>
      <c r="AP116" s="239">
        <f t="shared" si="248"/>
        <v>0</v>
      </c>
      <c r="AQ116" s="239">
        <f t="shared" si="248"/>
        <v>0</v>
      </c>
      <c r="AR116" s="239">
        <f t="shared" si="248"/>
        <v>0</v>
      </c>
      <c r="AS116" s="239">
        <f t="shared" si="248"/>
        <v>0</v>
      </c>
      <c r="AT116" s="239">
        <f t="shared" si="248"/>
        <v>0</v>
      </c>
      <c r="AU116" s="239">
        <f t="shared" si="248"/>
        <v>0</v>
      </c>
      <c r="AV116" s="239">
        <f>SUM(AV118,AV124:AV127)</f>
        <v>0</v>
      </c>
      <c r="AW116" s="239">
        <f>SUM(AW118,AW124:AW127)</f>
        <v>0</v>
      </c>
      <c r="AX116" s="239">
        <f>SUM(AX118,AX124:AX127)</f>
        <v>0</v>
      </c>
      <c r="AY116" s="239">
        <f>SUM(AY118,AY124:AY127)</f>
        <v>0</v>
      </c>
      <c r="AZ116" s="241">
        <f t="shared" si="126"/>
        <v>0</v>
      </c>
      <c r="BA116" s="239">
        <f>SUM(BA118,BA124:BA127)</f>
        <v>0</v>
      </c>
      <c r="BB116" s="239">
        <f>SUM(BB118,BB124:BB127)</f>
        <v>0</v>
      </c>
      <c r="BC116" s="241">
        <f t="shared" si="127"/>
        <v>0</v>
      </c>
      <c r="BD116" s="239">
        <f t="shared" si="248"/>
        <v>0</v>
      </c>
      <c r="BE116" s="239">
        <f t="shared" si="248"/>
        <v>0</v>
      </c>
      <c r="BF116" s="239">
        <f t="shared" si="248"/>
        <v>0</v>
      </c>
      <c r="BG116" s="241">
        <f t="shared" si="128"/>
        <v>0</v>
      </c>
      <c r="BH116" s="239">
        <f t="shared" ref="BH116" si="249">SUM(BH118,BH124:BH127)</f>
        <v>0</v>
      </c>
      <c r="BI116" s="239">
        <f t="shared" si="248"/>
        <v>0</v>
      </c>
      <c r="BJ116" s="239">
        <f t="shared" si="248"/>
        <v>0</v>
      </c>
      <c r="BK116" s="239">
        <f t="shared" si="248"/>
        <v>0</v>
      </c>
      <c r="BL116" s="239">
        <f t="shared" si="248"/>
        <v>0</v>
      </c>
      <c r="BM116" s="239">
        <f t="shared" si="248"/>
        <v>0</v>
      </c>
      <c r="BN116" s="239">
        <f t="shared" si="248"/>
        <v>0</v>
      </c>
      <c r="BO116" s="239">
        <f t="shared" si="248"/>
        <v>0</v>
      </c>
      <c r="BP116" s="239">
        <f t="shared" si="248"/>
        <v>0</v>
      </c>
      <c r="BQ116" s="239">
        <f t="shared" si="248"/>
        <v>0</v>
      </c>
      <c r="BR116" s="242">
        <f t="shared" si="129"/>
        <v>0</v>
      </c>
      <c r="BS116" s="239">
        <f t="shared" si="248"/>
        <v>0</v>
      </c>
      <c r="BT116" s="239">
        <f t="shared" si="248"/>
        <v>0</v>
      </c>
      <c r="BU116" s="239">
        <f t="shared" si="248"/>
        <v>0</v>
      </c>
      <c r="BV116" s="239">
        <f t="shared" si="248"/>
        <v>0</v>
      </c>
      <c r="BW116" s="239">
        <f t="shared" si="248"/>
        <v>0</v>
      </c>
      <c r="BX116" s="239">
        <f>SUM(BX118,BX124:BX127)</f>
        <v>0</v>
      </c>
      <c r="BY116" s="250">
        <f t="shared" si="124"/>
        <v>4579163.84</v>
      </c>
      <c r="BZ116" s="239">
        <f t="shared" si="125"/>
        <v>0</v>
      </c>
      <c r="CA116" s="239">
        <f t="shared" si="248"/>
        <v>0</v>
      </c>
      <c r="CB116" s="239">
        <f t="shared" si="248"/>
        <v>0</v>
      </c>
      <c r="CC116" s="221" t="s">
        <v>86</v>
      </c>
    </row>
    <row r="117" spans="1:81" ht="18">
      <c r="A117" s="158" t="s">
        <v>9</v>
      </c>
      <c r="B117" s="159"/>
      <c r="C117" s="243">
        <f t="shared" si="111"/>
        <v>0</v>
      </c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430"/>
      <c r="O117" s="244"/>
      <c r="P117" s="244"/>
      <c r="Q117" s="245">
        <f t="shared" si="122"/>
        <v>0</v>
      </c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  <c r="AJ117" s="244"/>
      <c r="AK117" s="244"/>
      <c r="AL117" s="244"/>
      <c r="AM117" s="244"/>
      <c r="AN117" s="244"/>
      <c r="AO117" s="244"/>
      <c r="AP117" s="244"/>
      <c r="AQ117" s="244"/>
      <c r="AR117" s="244"/>
      <c r="AS117" s="244"/>
      <c r="AT117" s="244"/>
      <c r="AU117" s="244"/>
      <c r="AV117" s="244"/>
      <c r="AW117" s="244"/>
      <c r="AX117" s="244"/>
      <c r="AY117" s="244"/>
      <c r="AZ117" s="246">
        <f t="shared" si="126"/>
        <v>0</v>
      </c>
      <c r="BA117" s="244"/>
      <c r="BB117" s="244"/>
      <c r="BC117" s="246">
        <f t="shared" si="127"/>
        <v>0</v>
      </c>
      <c r="BD117" s="244"/>
      <c r="BE117" s="244"/>
      <c r="BF117" s="244"/>
      <c r="BG117" s="246">
        <f t="shared" si="128"/>
        <v>0</v>
      </c>
      <c r="BH117" s="244"/>
      <c r="BI117" s="244"/>
      <c r="BJ117" s="244"/>
      <c r="BK117" s="244"/>
      <c r="BL117" s="244"/>
      <c r="BM117" s="244"/>
      <c r="BN117" s="244"/>
      <c r="BO117" s="244"/>
      <c r="BP117" s="244"/>
      <c r="BQ117" s="244"/>
      <c r="BR117" s="247">
        <f t="shared" si="129"/>
        <v>0</v>
      </c>
      <c r="BS117" s="244"/>
      <c r="BT117" s="244"/>
      <c r="BU117" s="244"/>
      <c r="BV117" s="244"/>
      <c r="BW117" s="244"/>
      <c r="BX117" s="244"/>
      <c r="BY117" s="248">
        <f t="shared" si="124"/>
        <v>0</v>
      </c>
      <c r="BZ117" s="244">
        <f t="shared" si="125"/>
        <v>0</v>
      </c>
      <c r="CA117" s="244"/>
      <c r="CB117" s="244"/>
      <c r="CC117" s="221" t="s">
        <v>86</v>
      </c>
    </row>
    <row r="118" spans="1:81" ht="36">
      <c r="A118" s="162" t="s">
        <v>391</v>
      </c>
      <c r="B118" s="163" t="s">
        <v>392</v>
      </c>
      <c r="C118" s="251">
        <f t="shared" si="111"/>
        <v>3315591.39</v>
      </c>
      <c r="D118" s="252">
        <f>SUM(D119:D123)</f>
        <v>0</v>
      </c>
      <c r="E118" s="252">
        <f t="shared" ref="E118:CB118" si="250">SUM(E119:E123)</f>
        <v>0</v>
      </c>
      <c r="F118" s="252">
        <f t="shared" si="250"/>
        <v>0</v>
      </c>
      <c r="G118" s="252">
        <f t="shared" si="250"/>
        <v>0</v>
      </c>
      <c r="H118" s="252">
        <f t="shared" si="250"/>
        <v>0</v>
      </c>
      <c r="I118" s="252">
        <f t="shared" si="250"/>
        <v>0</v>
      </c>
      <c r="J118" s="252">
        <f t="shared" si="250"/>
        <v>0</v>
      </c>
      <c r="K118" s="252">
        <f t="shared" si="250"/>
        <v>0</v>
      </c>
      <c r="L118" s="252">
        <f t="shared" si="250"/>
        <v>0</v>
      </c>
      <c r="M118" s="252">
        <f t="shared" si="250"/>
        <v>0</v>
      </c>
      <c r="N118" s="431">
        <f>SUM(N119:N123)</f>
        <v>3315591.39</v>
      </c>
      <c r="O118" s="252">
        <f t="shared" si="250"/>
        <v>0</v>
      </c>
      <c r="P118" s="252">
        <f t="shared" si="250"/>
        <v>0</v>
      </c>
      <c r="Q118" s="256">
        <f t="shared" si="122"/>
        <v>0</v>
      </c>
      <c r="R118" s="252">
        <f t="shared" si="250"/>
        <v>0</v>
      </c>
      <c r="S118" s="252">
        <f t="shared" si="250"/>
        <v>0</v>
      </c>
      <c r="T118" s="252">
        <f t="shared" si="250"/>
        <v>0</v>
      </c>
      <c r="U118" s="252">
        <f t="shared" si="250"/>
        <v>0</v>
      </c>
      <c r="V118" s="252">
        <f t="shared" si="250"/>
        <v>0</v>
      </c>
      <c r="W118" s="252">
        <f t="shared" si="250"/>
        <v>0</v>
      </c>
      <c r="X118" s="252">
        <f t="shared" si="250"/>
        <v>0</v>
      </c>
      <c r="Y118" s="252">
        <f t="shared" si="250"/>
        <v>0</v>
      </c>
      <c r="Z118" s="252">
        <f t="shared" si="250"/>
        <v>0</v>
      </c>
      <c r="AA118" s="252">
        <f t="shared" si="250"/>
        <v>0</v>
      </c>
      <c r="AB118" s="252">
        <f t="shared" si="250"/>
        <v>0</v>
      </c>
      <c r="AC118" s="252">
        <f t="shared" si="250"/>
        <v>0</v>
      </c>
      <c r="AD118" s="252">
        <f t="shared" si="250"/>
        <v>0</v>
      </c>
      <c r="AE118" s="252">
        <f t="shared" si="250"/>
        <v>0</v>
      </c>
      <c r="AF118" s="252">
        <f t="shared" si="250"/>
        <v>0</v>
      </c>
      <c r="AG118" s="252">
        <f t="shared" si="250"/>
        <v>0</v>
      </c>
      <c r="AH118" s="252">
        <f t="shared" si="250"/>
        <v>0</v>
      </c>
      <c r="AI118" s="252">
        <f t="shared" si="250"/>
        <v>0</v>
      </c>
      <c r="AJ118" s="252">
        <f t="shared" si="250"/>
        <v>0</v>
      </c>
      <c r="AK118" s="252">
        <f t="shared" si="250"/>
        <v>0</v>
      </c>
      <c r="AL118" s="252">
        <f t="shared" si="250"/>
        <v>0</v>
      </c>
      <c r="AM118" s="252">
        <f t="shared" si="250"/>
        <v>0</v>
      </c>
      <c r="AN118" s="252">
        <f t="shared" si="250"/>
        <v>0</v>
      </c>
      <c r="AO118" s="252">
        <f t="shared" si="250"/>
        <v>0</v>
      </c>
      <c r="AP118" s="252">
        <f t="shared" si="250"/>
        <v>0</v>
      </c>
      <c r="AQ118" s="252">
        <f t="shared" si="250"/>
        <v>0</v>
      </c>
      <c r="AR118" s="252">
        <f t="shared" si="250"/>
        <v>0</v>
      </c>
      <c r="AS118" s="252">
        <f t="shared" si="250"/>
        <v>0</v>
      </c>
      <c r="AT118" s="252">
        <f t="shared" si="250"/>
        <v>0</v>
      </c>
      <c r="AU118" s="252">
        <f t="shared" si="250"/>
        <v>0</v>
      </c>
      <c r="AV118" s="252">
        <f>SUM(AV119:AV123)</f>
        <v>0</v>
      </c>
      <c r="AW118" s="252">
        <f>SUM(AW119:AW123)</f>
        <v>0</v>
      </c>
      <c r="AX118" s="252">
        <f>SUM(AX119:AX123)</f>
        <v>0</v>
      </c>
      <c r="AY118" s="252">
        <f>SUM(AY119:AY123)</f>
        <v>0</v>
      </c>
      <c r="AZ118" s="253">
        <f t="shared" si="126"/>
        <v>0</v>
      </c>
      <c r="BA118" s="252">
        <f>SUM(BA119:BA123)</f>
        <v>0</v>
      </c>
      <c r="BB118" s="252">
        <f>SUM(BB119:BB123)</f>
        <v>0</v>
      </c>
      <c r="BC118" s="253">
        <f t="shared" si="127"/>
        <v>0</v>
      </c>
      <c r="BD118" s="252">
        <f t="shared" si="250"/>
        <v>0</v>
      </c>
      <c r="BE118" s="252">
        <f t="shared" si="250"/>
        <v>0</v>
      </c>
      <c r="BF118" s="252">
        <f t="shared" si="250"/>
        <v>0</v>
      </c>
      <c r="BG118" s="253">
        <f t="shared" si="128"/>
        <v>0</v>
      </c>
      <c r="BH118" s="252">
        <f t="shared" ref="BH118" si="251">SUM(BH119:BH123)</f>
        <v>0</v>
      </c>
      <c r="BI118" s="252">
        <f t="shared" si="250"/>
        <v>0</v>
      </c>
      <c r="BJ118" s="252">
        <f t="shared" si="250"/>
        <v>0</v>
      </c>
      <c r="BK118" s="252">
        <f t="shared" si="250"/>
        <v>0</v>
      </c>
      <c r="BL118" s="252">
        <f t="shared" si="250"/>
        <v>0</v>
      </c>
      <c r="BM118" s="252">
        <f t="shared" si="250"/>
        <v>0</v>
      </c>
      <c r="BN118" s="252">
        <f t="shared" si="250"/>
        <v>0</v>
      </c>
      <c r="BO118" s="252">
        <f t="shared" si="250"/>
        <v>0</v>
      </c>
      <c r="BP118" s="252">
        <f t="shared" si="250"/>
        <v>0</v>
      </c>
      <c r="BQ118" s="252">
        <f t="shared" si="250"/>
        <v>0</v>
      </c>
      <c r="BR118" s="254">
        <f t="shared" si="129"/>
        <v>0</v>
      </c>
      <c r="BS118" s="252">
        <f t="shared" si="250"/>
        <v>0</v>
      </c>
      <c r="BT118" s="252">
        <f t="shared" si="250"/>
        <v>0</v>
      </c>
      <c r="BU118" s="252">
        <f t="shared" si="250"/>
        <v>0</v>
      </c>
      <c r="BV118" s="252">
        <f t="shared" si="250"/>
        <v>0</v>
      </c>
      <c r="BW118" s="252">
        <f t="shared" si="250"/>
        <v>0</v>
      </c>
      <c r="BX118" s="252">
        <f>SUM(BX119:BX123)</f>
        <v>0</v>
      </c>
      <c r="BY118" s="255">
        <f t="shared" si="124"/>
        <v>3315591.39</v>
      </c>
      <c r="BZ118" s="252">
        <f t="shared" si="125"/>
        <v>0</v>
      </c>
      <c r="CA118" s="252">
        <f t="shared" si="250"/>
        <v>0</v>
      </c>
      <c r="CB118" s="252">
        <f t="shared" si="250"/>
        <v>0</v>
      </c>
      <c r="CC118" s="221" t="s">
        <v>86</v>
      </c>
    </row>
    <row r="119" spans="1:81" ht="18">
      <c r="A119" s="164" t="s">
        <v>393</v>
      </c>
      <c r="B119" s="163" t="s">
        <v>394</v>
      </c>
      <c r="C119" s="243">
        <f t="shared" si="111"/>
        <v>0</v>
      </c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  <c r="N119" s="430"/>
      <c r="O119" s="244"/>
      <c r="P119" s="244"/>
      <c r="Q119" s="245">
        <f t="shared" si="122"/>
        <v>0</v>
      </c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  <c r="AJ119" s="244"/>
      <c r="AK119" s="244"/>
      <c r="AL119" s="244"/>
      <c r="AM119" s="244"/>
      <c r="AN119" s="244"/>
      <c r="AO119" s="244"/>
      <c r="AP119" s="244"/>
      <c r="AQ119" s="244"/>
      <c r="AR119" s="244"/>
      <c r="AS119" s="244"/>
      <c r="AT119" s="244"/>
      <c r="AU119" s="244"/>
      <c r="AV119" s="244"/>
      <c r="AW119" s="244"/>
      <c r="AX119" s="244"/>
      <c r="AY119" s="244"/>
      <c r="AZ119" s="246">
        <f t="shared" si="126"/>
        <v>0</v>
      </c>
      <c r="BA119" s="244"/>
      <c r="BB119" s="244"/>
      <c r="BC119" s="246">
        <f t="shared" si="127"/>
        <v>0</v>
      </c>
      <c r="BD119" s="244"/>
      <c r="BE119" s="244"/>
      <c r="BF119" s="244"/>
      <c r="BG119" s="246">
        <f t="shared" si="128"/>
        <v>0</v>
      </c>
      <c r="BH119" s="244"/>
      <c r="BI119" s="244"/>
      <c r="BJ119" s="244"/>
      <c r="BK119" s="244"/>
      <c r="BL119" s="244"/>
      <c r="BM119" s="244"/>
      <c r="BN119" s="244"/>
      <c r="BO119" s="244"/>
      <c r="BP119" s="244"/>
      <c r="BQ119" s="244"/>
      <c r="BR119" s="247">
        <f t="shared" si="129"/>
        <v>0</v>
      </c>
      <c r="BS119" s="244"/>
      <c r="BT119" s="244"/>
      <c r="BU119" s="244"/>
      <c r="BV119" s="244"/>
      <c r="BW119" s="244"/>
      <c r="BX119" s="244"/>
      <c r="BY119" s="248">
        <f t="shared" si="124"/>
        <v>0</v>
      </c>
      <c r="BZ119" s="244">
        <f t="shared" si="125"/>
        <v>0</v>
      </c>
      <c r="CA119" s="244"/>
      <c r="CB119" s="244"/>
      <c r="CC119" s="221" t="s">
        <v>86</v>
      </c>
    </row>
    <row r="120" spans="1:81" ht="36">
      <c r="A120" s="164" t="s">
        <v>395</v>
      </c>
      <c r="B120" s="163" t="s">
        <v>396</v>
      </c>
      <c r="C120" s="251">
        <f t="shared" si="111"/>
        <v>0</v>
      </c>
      <c r="D120" s="244"/>
      <c r="E120" s="252"/>
      <c r="F120" s="252"/>
      <c r="G120" s="252"/>
      <c r="H120" s="252"/>
      <c r="I120" s="252"/>
      <c r="J120" s="252"/>
      <c r="K120" s="252"/>
      <c r="L120" s="252"/>
      <c r="M120" s="252"/>
      <c r="N120" s="431"/>
      <c r="O120" s="252"/>
      <c r="P120" s="252"/>
      <c r="Q120" s="245">
        <f t="shared" si="122"/>
        <v>0</v>
      </c>
      <c r="R120" s="252"/>
      <c r="S120" s="252"/>
      <c r="T120" s="252"/>
      <c r="U120" s="252"/>
      <c r="V120" s="252"/>
      <c r="W120" s="252"/>
      <c r="X120" s="252"/>
      <c r="Y120" s="252"/>
      <c r="Z120" s="252"/>
      <c r="AA120" s="252"/>
      <c r="AB120" s="252"/>
      <c r="AC120" s="252"/>
      <c r="AD120" s="252"/>
      <c r="AE120" s="252"/>
      <c r="AF120" s="252"/>
      <c r="AG120" s="252"/>
      <c r="AH120" s="252"/>
      <c r="AI120" s="252"/>
      <c r="AJ120" s="252"/>
      <c r="AK120" s="252"/>
      <c r="AL120" s="252"/>
      <c r="AM120" s="252"/>
      <c r="AN120" s="252"/>
      <c r="AO120" s="252"/>
      <c r="AP120" s="252"/>
      <c r="AQ120" s="252"/>
      <c r="AR120" s="252"/>
      <c r="AS120" s="252"/>
      <c r="AT120" s="252"/>
      <c r="AU120" s="252"/>
      <c r="AV120" s="252"/>
      <c r="AW120" s="252"/>
      <c r="AX120" s="252"/>
      <c r="AY120" s="252"/>
      <c r="AZ120" s="253">
        <f t="shared" si="126"/>
        <v>0</v>
      </c>
      <c r="BA120" s="252"/>
      <c r="BB120" s="252"/>
      <c r="BC120" s="253">
        <f t="shared" si="127"/>
        <v>0</v>
      </c>
      <c r="BD120" s="252"/>
      <c r="BE120" s="252"/>
      <c r="BF120" s="252"/>
      <c r="BG120" s="253">
        <f t="shared" si="128"/>
        <v>0</v>
      </c>
      <c r="BH120" s="252"/>
      <c r="BI120" s="252"/>
      <c r="BJ120" s="252"/>
      <c r="BK120" s="252"/>
      <c r="BL120" s="252"/>
      <c r="BM120" s="252"/>
      <c r="BN120" s="252"/>
      <c r="BO120" s="252"/>
      <c r="BP120" s="252"/>
      <c r="BQ120" s="252"/>
      <c r="BR120" s="254">
        <f t="shared" si="129"/>
        <v>0</v>
      </c>
      <c r="BS120" s="252"/>
      <c r="BT120" s="252"/>
      <c r="BU120" s="252"/>
      <c r="BV120" s="252"/>
      <c r="BW120" s="252"/>
      <c r="BX120" s="252"/>
      <c r="BY120" s="255">
        <f t="shared" si="124"/>
        <v>0</v>
      </c>
      <c r="BZ120" s="252">
        <f t="shared" si="125"/>
        <v>0</v>
      </c>
      <c r="CA120" s="252"/>
      <c r="CB120" s="252"/>
      <c r="CC120" s="221" t="s">
        <v>86</v>
      </c>
    </row>
    <row r="121" spans="1:81" ht="36">
      <c r="A121" s="164" t="s">
        <v>397</v>
      </c>
      <c r="B121" s="163" t="s">
        <v>398</v>
      </c>
      <c r="C121" s="251">
        <f t="shared" si="111"/>
        <v>0</v>
      </c>
      <c r="D121" s="244"/>
      <c r="E121" s="252"/>
      <c r="F121" s="252"/>
      <c r="G121" s="252"/>
      <c r="H121" s="252"/>
      <c r="I121" s="252"/>
      <c r="J121" s="252"/>
      <c r="K121" s="252"/>
      <c r="L121" s="252"/>
      <c r="M121" s="252"/>
      <c r="N121" s="431"/>
      <c r="O121" s="252"/>
      <c r="P121" s="252"/>
      <c r="Q121" s="245">
        <f t="shared" si="122"/>
        <v>0</v>
      </c>
      <c r="R121" s="252"/>
      <c r="S121" s="252"/>
      <c r="T121" s="252"/>
      <c r="U121" s="252"/>
      <c r="V121" s="252"/>
      <c r="W121" s="252"/>
      <c r="X121" s="252"/>
      <c r="Y121" s="252"/>
      <c r="Z121" s="252"/>
      <c r="AA121" s="252"/>
      <c r="AB121" s="252"/>
      <c r="AC121" s="252"/>
      <c r="AD121" s="252"/>
      <c r="AE121" s="252"/>
      <c r="AF121" s="252"/>
      <c r="AG121" s="252"/>
      <c r="AH121" s="252"/>
      <c r="AI121" s="252"/>
      <c r="AJ121" s="252"/>
      <c r="AK121" s="252"/>
      <c r="AL121" s="252"/>
      <c r="AM121" s="252"/>
      <c r="AN121" s="252"/>
      <c r="AO121" s="252"/>
      <c r="AP121" s="252"/>
      <c r="AQ121" s="252"/>
      <c r="AR121" s="252"/>
      <c r="AS121" s="252"/>
      <c r="AT121" s="252"/>
      <c r="AU121" s="252"/>
      <c r="AV121" s="252"/>
      <c r="AW121" s="252"/>
      <c r="AX121" s="252"/>
      <c r="AY121" s="252"/>
      <c r="AZ121" s="253">
        <f t="shared" si="126"/>
        <v>0</v>
      </c>
      <c r="BA121" s="252"/>
      <c r="BB121" s="252"/>
      <c r="BC121" s="253">
        <f t="shared" si="127"/>
        <v>0</v>
      </c>
      <c r="BD121" s="252"/>
      <c r="BE121" s="252"/>
      <c r="BF121" s="252"/>
      <c r="BG121" s="253">
        <f t="shared" si="128"/>
        <v>0</v>
      </c>
      <c r="BH121" s="252"/>
      <c r="BI121" s="252"/>
      <c r="BJ121" s="252"/>
      <c r="BK121" s="252"/>
      <c r="BL121" s="252"/>
      <c r="BM121" s="252"/>
      <c r="BN121" s="252"/>
      <c r="BO121" s="252"/>
      <c r="BP121" s="252"/>
      <c r="BQ121" s="252"/>
      <c r="BR121" s="254">
        <f t="shared" si="129"/>
        <v>0</v>
      </c>
      <c r="BS121" s="252"/>
      <c r="BT121" s="252"/>
      <c r="BU121" s="252"/>
      <c r="BV121" s="252"/>
      <c r="BW121" s="252"/>
      <c r="BX121" s="252"/>
      <c r="BY121" s="255">
        <f t="shared" si="124"/>
        <v>0</v>
      </c>
      <c r="BZ121" s="252">
        <f t="shared" si="125"/>
        <v>0</v>
      </c>
      <c r="CA121" s="252"/>
      <c r="CB121" s="252"/>
      <c r="CC121" s="221" t="s">
        <v>86</v>
      </c>
    </row>
    <row r="122" spans="1:81" ht="18">
      <c r="A122" s="165" t="s">
        <v>399</v>
      </c>
      <c r="B122" s="163" t="s">
        <v>400</v>
      </c>
      <c r="C122" s="251">
        <f t="shared" si="111"/>
        <v>3135591.39</v>
      </c>
      <c r="D122" s="244"/>
      <c r="E122" s="252"/>
      <c r="F122" s="252"/>
      <c r="G122" s="252"/>
      <c r="H122" s="252"/>
      <c r="I122" s="252"/>
      <c r="J122" s="252"/>
      <c r="K122" s="252"/>
      <c r="L122" s="252"/>
      <c r="M122" s="252"/>
      <c r="N122" s="431">
        <v>3135591.39</v>
      </c>
      <c r="O122" s="252"/>
      <c r="P122" s="252"/>
      <c r="Q122" s="245">
        <f t="shared" si="122"/>
        <v>0</v>
      </c>
      <c r="R122" s="252"/>
      <c r="S122" s="252"/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52"/>
      <c r="AG122" s="252"/>
      <c r="AH122" s="252"/>
      <c r="AI122" s="252"/>
      <c r="AJ122" s="252"/>
      <c r="AK122" s="252"/>
      <c r="AL122" s="252"/>
      <c r="AM122" s="252"/>
      <c r="AN122" s="252"/>
      <c r="AO122" s="252"/>
      <c r="AP122" s="252"/>
      <c r="AQ122" s="252"/>
      <c r="AR122" s="252"/>
      <c r="AS122" s="252"/>
      <c r="AT122" s="252"/>
      <c r="AU122" s="252"/>
      <c r="AV122" s="252"/>
      <c r="AW122" s="252"/>
      <c r="AX122" s="252"/>
      <c r="AY122" s="252"/>
      <c r="AZ122" s="253">
        <f t="shared" si="126"/>
        <v>0</v>
      </c>
      <c r="BA122" s="252"/>
      <c r="BB122" s="252"/>
      <c r="BC122" s="253">
        <f t="shared" si="127"/>
        <v>0</v>
      </c>
      <c r="BD122" s="252"/>
      <c r="BE122" s="252"/>
      <c r="BF122" s="252"/>
      <c r="BG122" s="253">
        <f t="shared" si="128"/>
        <v>0</v>
      </c>
      <c r="BH122" s="252"/>
      <c r="BI122" s="252"/>
      <c r="BJ122" s="252"/>
      <c r="BK122" s="252"/>
      <c r="BL122" s="252"/>
      <c r="BM122" s="252"/>
      <c r="BN122" s="252"/>
      <c r="BO122" s="252"/>
      <c r="BP122" s="252"/>
      <c r="BQ122" s="252"/>
      <c r="BR122" s="254">
        <f t="shared" si="129"/>
        <v>0</v>
      </c>
      <c r="BS122" s="252"/>
      <c r="BT122" s="252"/>
      <c r="BU122" s="252"/>
      <c r="BV122" s="252"/>
      <c r="BW122" s="252"/>
      <c r="BX122" s="252"/>
      <c r="BY122" s="255">
        <f t="shared" si="124"/>
        <v>3135591.39</v>
      </c>
      <c r="BZ122" s="252">
        <f t="shared" si="125"/>
        <v>0</v>
      </c>
      <c r="CA122" s="252"/>
      <c r="CB122" s="252"/>
      <c r="CC122" s="221" t="s">
        <v>86</v>
      </c>
    </row>
    <row r="123" spans="1:81" ht="18">
      <c r="A123" s="165" t="s">
        <v>401</v>
      </c>
      <c r="B123" s="163" t="s">
        <v>402</v>
      </c>
      <c r="C123" s="251">
        <f t="shared" si="111"/>
        <v>180000</v>
      </c>
      <c r="D123" s="244"/>
      <c r="E123" s="252"/>
      <c r="F123" s="252"/>
      <c r="G123" s="252"/>
      <c r="H123" s="252"/>
      <c r="I123" s="252"/>
      <c r="J123" s="252"/>
      <c r="K123" s="252"/>
      <c r="L123" s="252"/>
      <c r="M123" s="252"/>
      <c r="N123" s="431">
        <v>180000</v>
      </c>
      <c r="O123" s="252"/>
      <c r="P123" s="252"/>
      <c r="Q123" s="245">
        <f t="shared" si="122"/>
        <v>0</v>
      </c>
      <c r="R123" s="252"/>
      <c r="S123" s="252"/>
      <c r="T123" s="252"/>
      <c r="U123" s="252"/>
      <c r="V123" s="252"/>
      <c r="W123" s="252"/>
      <c r="X123" s="252"/>
      <c r="Y123" s="252"/>
      <c r="Z123" s="252"/>
      <c r="AA123" s="252"/>
      <c r="AB123" s="252"/>
      <c r="AC123" s="252"/>
      <c r="AD123" s="252"/>
      <c r="AE123" s="252"/>
      <c r="AF123" s="252"/>
      <c r="AG123" s="252"/>
      <c r="AH123" s="252"/>
      <c r="AI123" s="252"/>
      <c r="AJ123" s="252"/>
      <c r="AK123" s="252"/>
      <c r="AL123" s="252"/>
      <c r="AM123" s="252"/>
      <c r="AN123" s="252"/>
      <c r="AO123" s="252"/>
      <c r="AP123" s="252"/>
      <c r="AQ123" s="252"/>
      <c r="AR123" s="252"/>
      <c r="AS123" s="252"/>
      <c r="AT123" s="252"/>
      <c r="AU123" s="252"/>
      <c r="AV123" s="252"/>
      <c r="AW123" s="252"/>
      <c r="AX123" s="252"/>
      <c r="AY123" s="252"/>
      <c r="AZ123" s="253">
        <f t="shared" si="126"/>
        <v>0</v>
      </c>
      <c r="BA123" s="252"/>
      <c r="BB123" s="252"/>
      <c r="BC123" s="253">
        <f t="shared" si="127"/>
        <v>0</v>
      </c>
      <c r="BD123" s="252"/>
      <c r="BE123" s="252"/>
      <c r="BF123" s="252"/>
      <c r="BG123" s="253">
        <f t="shared" si="128"/>
        <v>0</v>
      </c>
      <c r="BH123" s="252"/>
      <c r="BI123" s="252"/>
      <c r="BJ123" s="252"/>
      <c r="BK123" s="252"/>
      <c r="BL123" s="252"/>
      <c r="BM123" s="252"/>
      <c r="BN123" s="252"/>
      <c r="BO123" s="252"/>
      <c r="BP123" s="252"/>
      <c r="BQ123" s="252"/>
      <c r="BR123" s="254">
        <f t="shared" si="129"/>
        <v>0</v>
      </c>
      <c r="BS123" s="252"/>
      <c r="BT123" s="252"/>
      <c r="BU123" s="252"/>
      <c r="BV123" s="252"/>
      <c r="BW123" s="252"/>
      <c r="BX123" s="252"/>
      <c r="BY123" s="255">
        <f t="shared" si="124"/>
        <v>180000</v>
      </c>
      <c r="BZ123" s="252">
        <f t="shared" si="125"/>
        <v>0</v>
      </c>
      <c r="CA123" s="252"/>
      <c r="CB123" s="252"/>
      <c r="CC123" s="221" t="s">
        <v>86</v>
      </c>
    </row>
    <row r="124" spans="1:81" ht="54">
      <c r="A124" s="162" t="s">
        <v>403</v>
      </c>
      <c r="B124" s="163" t="s">
        <v>404</v>
      </c>
      <c r="C124" s="251">
        <f t="shared" si="111"/>
        <v>1263572.45</v>
      </c>
      <c r="D124" s="244"/>
      <c r="E124" s="252"/>
      <c r="F124" s="252"/>
      <c r="G124" s="252"/>
      <c r="H124" s="252"/>
      <c r="I124" s="252"/>
      <c r="J124" s="252"/>
      <c r="K124" s="252"/>
      <c r="L124" s="252"/>
      <c r="M124" s="252"/>
      <c r="N124" s="431">
        <f>988572.45+275000</f>
        <v>1263572.45</v>
      </c>
      <c r="O124" s="252"/>
      <c r="P124" s="252"/>
      <c r="Q124" s="245">
        <f t="shared" si="122"/>
        <v>0</v>
      </c>
      <c r="R124" s="252"/>
      <c r="S124" s="252"/>
      <c r="T124" s="252"/>
      <c r="U124" s="252"/>
      <c r="V124" s="252"/>
      <c r="W124" s="252"/>
      <c r="X124" s="252"/>
      <c r="Y124" s="252"/>
      <c r="Z124" s="252"/>
      <c r="AA124" s="252"/>
      <c r="AB124" s="252"/>
      <c r="AC124" s="252"/>
      <c r="AD124" s="252"/>
      <c r="AE124" s="252"/>
      <c r="AF124" s="252"/>
      <c r="AG124" s="252"/>
      <c r="AH124" s="252"/>
      <c r="AI124" s="252"/>
      <c r="AJ124" s="252"/>
      <c r="AK124" s="252"/>
      <c r="AL124" s="252"/>
      <c r="AM124" s="252"/>
      <c r="AN124" s="252"/>
      <c r="AO124" s="252"/>
      <c r="AP124" s="252"/>
      <c r="AQ124" s="252"/>
      <c r="AR124" s="252"/>
      <c r="AS124" s="252"/>
      <c r="AT124" s="252"/>
      <c r="AU124" s="252"/>
      <c r="AV124" s="252"/>
      <c r="AW124" s="252"/>
      <c r="AX124" s="252"/>
      <c r="AY124" s="252"/>
      <c r="AZ124" s="253">
        <f t="shared" si="126"/>
        <v>0</v>
      </c>
      <c r="BA124" s="252"/>
      <c r="BB124" s="252"/>
      <c r="BC124" s="253">
        <f t="shared" si="127"/>
        <v>0</v>
      </c>
      <c r="BD124" s="252"/>
      <c r="BE124" s="252"/>
      <c r="BF124" s="252"/>
      <c r="BG124" s="253">
        <f t="shared" si="128"/>
        <v>0</v>
      </c>
      <c r="BH124" s="252"/>
      <c r="BI124" s="252"/>
      <c r="BJ124" s="252"/>
      <c r="BK124" s="252"/>
      <c r="BL124" s="252"/>
      <c r="BM124" s="252"/>
      <c r="BN124" s="252"/>
      <c r="BO124" s="252"/>
      <c r="BP124" s="252"/>
      <c r="BQ124" s="252"/>
      <c r="BR124" s="254">
        <f t="shared" si="129"/>
        <v>0</v>
      </c>
      <c r="BS124" s="252"/>
      <c r="BT124" s="252"/>
      <c r="BU124" s="252"/>
      <c r="BV124" s="252"/>
      <c r="BW124" s="252"/>
      <c r="BX124" s="252"/>
      <c r="BY124" s="255">
        <f t="shared" si="124"/>
        <v>1263572.45</v>
      </c>
      <c r="BZ124" s="252">
        <f t="shared" si="125"/>
        <v>0</v>
      </c>
      <c r="CA124" s="252"/>
      <c r="CB124" s="252"/>
      <c r="CC124" s="221" t="s">
        <v>86</v>
      </c>
    </row>
    <row r="125" spans="1:81" ht="30.6">
      <c r="A125" s="166" t="s">
        <v>405</v>
      </c>
      <c r="B125" s="163" t="s">
        <v>406</v>
      </c>
      <c r="C125" s="251">
        <f t="shared" si="111"/>
        <v>0</v>
      </c>
      <c r="D125" s="244"/>
      <c r="E125" s="252"/>
      <c r="F125" s="252"/>
      <c r="G125" s="252"/>
      <c r="H125" s="252"/>
      <c r="I125" s="252"/>
      <c r="J125" s="252"/>
      <c r="K125" s="252"/>
      <c r="L125" s="252"/>
      <c r="M125" s="252"/>
      <c r="N125" s="431"/>
      <c r="O125" s="252"/>
      <c r="P125" s="252"/>
      <c r="Q125" s="245">
        <f t="shared" si="122"/>
        <v>0</v>
      </c>
      <c r="R125" s="252"/>
      <c r="S125" s="252"/>
      <c r="T125" s="252"/>
      <c r="U125" s="252"/>
      <c r="V125" s="252"/>
      <c r="W125" s="252"/>
      <c r="X125" s="252"/>
      <c r="Y125" s="252"/>
      <c r="Z125" s="252"/>
      <c r="AA125" s="252"/>
      <c r="AB125" s="252"/>
      <c r="AC125" s="252"/>
      <c r="AD125" s="252"/>
      <c r="AE125" s="252"/>
      <c r="AF125" s="252"/>
      <c r="AG125" s="252"/>
      <c r="AH125" s="252"/>
      <c r="AI125" s="252"/>
      <c r="AJ125" s="252"/>
      <c r="AK125" s="252"/>
      <c r="AL125" s="252"/>
      <c r="AM125" s="252"/>
      <c r="AN125" s="252"/>
      <c r="AO125" s="252"/>
      <c r="AP125" s="252"/>
      <c r="AQ125" s="252"/>
      <c r="AR125" s="252"/>
      <c r="AS125" s="252"/>
      <c r="AT125" s="252"/>
      <c r="AU125" s="252"/>
      <c r="AV125" s="252"/>
      <c r="AW125" s="252"/>
      <c r="AX125" s="252"/>
      <c r="AY125" s="252"/>
      <c r="AZ125" s="253">
        <f t="shared" si="126"/>
        <v>0</v>
      </c>
      <c r="BA125" s="252"/>
      <c r="BB125" s="252"/>
      <c r="BC125" s="253">
        <f t="shared" si="127"/>
        <v>0</v>
      </c>
      <c r="BD125" s="252"/>
      <c r="BE125" s="252"/>
      <c r="BF125" s="252"/>
      <c r="BG125" s="253">
        <f t="shared" si="128"/>
        <v>0</v>
      </c>
      <c r="BH125" s="252"/>
      <c r="BI125" s="252"/>
      <c r="BJ125" s="252"/>
      <c r="BK125" s="252"/>
      <c r="BL125" s="252"/>
      <c r="BM125" s="252"/>
      <c r="BN125" s="252"/>
      <c r="BO125" s="252"/>
      <c r="BP125" s="252"/>
      <c r="BQ125" s="252"/>
      <c r="BR125" s="254">
        <f t="shared" si="129"/>
        <v>0</v>
      </c>
      <c r="BS125" s="252"/>
      <c r="BT125" s="252"/>
      <c r="BU125" s="252"/>
      <c r="BV125" s="252"/>
      <c r="BW125" s="252"/>
      <c r="BX125" s="252"/>
      <c r="BY125" s="255">
        <f t="shared" si="124"/>
        <v>0</v>
      </c>
      <c r="BZ125" s="252">
        <f t="shared" si="125"/>
        <v>0</v>
      </c>
      <c r="CA125" s="252"/>
      <c r="CB125" s="252"/>
      <c r="CC125" s="221" t="s">
        <v>86</v>
      </c>
    </row>
    <row r="126" spans="1:81" ht="30.6">
      <c r="A126" s="166" t="s">
        <v>407</v>
      </c>
      <c r="B126" s="163" t="s">
        <v>408</v>
      </c>
      <c r="C126" s="251">
        <f t="shared" si="111"/>
        <v>0</v>
      </c>
      <c r="D126" s="244"/>
      <c r="E126" s="252"/>
      <c r="F126" s="252"/>
      <c r="G126" s="252"/>
      <c r="H126" s="252"/>
      <c r="I126" s="252"/>
      <c r="J126" s="252"/>
      <c r="K126" s="252"/>
      <c r="L126" s="252"/>
      <c r="M126" s="252"/>
      <c r="N126" s="431"/>
      <c r="O126" s="252"/>
      <c r="P126" s="252"/>
      <c r="Q126" s="245">
        <f t="shared" si="122"/>
        <v>0</v>
      </c>
      <c r="R126" s="252"/>
      <c r="S126" s="252"/>
      <c r="T126" s="252"/>
      <c r="U126" s="252"/>
      <c r="V126" s="252"/>
      <c r="W126" s="252"/>
      <c r="X126" s="252"/>
      <c r="Y126" s="252"/>
      <c r="Z126" s="252"/>
      <c r="AA126" s="252"/>
      <c r="AB126" s="252"/>
      <c r="AC126" s="252"/>
      <c r="AD126" s="252"/>
      <c r="AE126" s="252"/>
      <c r="AF126" s="252"/>
      <c r="AG126" s="252"/>
      <c r="AH126" s="252"/>
      <c r="AI126" s="252"/>
      <c r="AJ126" s="252"/>
      <c r="AK126" s="252"/>
      <c r="AL126" s="252"/>
      <c r="AM126" s="252"/>
      <c r="AN126" s="252"/>
      <c r="AO126" s="252"/>
      <c r="AP126" s="252"/>
      <c r="AQ126" s="252"/>
      <c r="AR126" s="252"/>
      <c r="AS126" s="252"/>
      <c r="AT126" s="252"/>
      <c r="AU126" s="252"/>
      <c r="AV126" s="252"/>
      <c r="AW126" s="252"/>
      <c r="AX126" s="252"/>
      <c r="AY126" s="252"/>
      <c r="AZ126" s="253">
        <f t="shared" si="126"/>
        <v>0</v>
      </c>
      <c r="BA126" s="252"/>
      <c r="BB126" s="252"/>
      <c r="BC126" s="253">
        <f t="shared" si="127"/>
        <v>0</v>
      </c>
      <c r="BD126" s="252"/>
      <c r="BE126" s="252"/>
      <c r="BF126" s="252"/>
      <c r="BG126" s="253">
        <f t="shared" si="128"/>
        <v>0</v>
      </c>
      <c r="BH126" s="252"/>
      <c r="BI126" s="252"/>
      <c r="BJ126" s="252"/>
      <c r="BK126" s="252"/>
      <c r="BL126" s="252"/>
      <c r="BM126" s="252"/>
      <c r="BN126" s="252"/>
      <c r="BO126" s="252"/>
      <c r="BP126" s="252"/>
      <c r="BQ126" s="252"/>
      <c r="BR126" s="254">
        <f t="shared" si="129"/>
        <v>0</v>
      </c>
      <c r="BS126" s="252"/>
      <c r="BT126" s="252"/>
      <c r="BU126" s="252"/>
      <c r="BV126" s="252"/>
      <c r="BW126" s="252"/>
      <c r="BX126" s="252"/>
      <c r="BY126" s="255">
        <f t="shared" si="124"/>
        <v>0</v>
      </c>
      <c r="BZ126" s="252">
        <f t="shared" si="125"/>
        <v>0</v>
      </c>
      <c r="CA126" s="252"/>
      <c r="CB126" s="252"/>
      <c r="CC126" s="221" t="s">
        <v>86</v>
      </c>
    </row>
    <row r="127" spans="1:81" ht="36">
      <c r="A127" s="162" t="s">
        <v>409</v>
      </c>
      <c r="B127" s="163" t="s">
        <v>410</v>
      </c>
      <c r="C127" s="251">
        <f t="shared" si="111"/>
        <v>0</v>
      </c>
      <c r="D127" s="244"/>
      <c r="E127" s="252"/>
      <c r="F127" s="252"/>
      <c r="G127" s="252"/>
      <c r="H127" s="252"/>
      <c r="I127" s="252"/>
      <c r="J127" s="252"/>
      <c r="K127" s="252"/>
      <c r="L127" s="252"/>
      <c r="M127" s="252"/>
      <c r="N127" s="431"/>
      <c r="O127" s="252"/>
      <c r="P127" s="252"/>
      <c r="Q127" s="245">
        <f t="shared" si="122"/>
        <v>0</v>
      </c>
      <c r="R127" s="252"/>
      <c r="S127" s="252"/>
      <c r="T127" s="252"/>
      <c r="U127" s="252"/>
      <c r="V127" s="252"/>
      <c r="W127" s="252"/>
      <c r="X127" s="252"/>
      <c r="Y127" s="252"/>
      <c r="Z127" s="252"/>
      <c r="AA127" s="252"/>
      <c r="AB127" s="252"/>
      <c r="AC127" s="252"/>
      <c r="AD127" s="252"/>
      <c r="AE127" s="252"/>
      <c r="AF127" s="252"/>
      <c r="AG127" s="252"/>
      <c r="AH127" s="252"/>
      <c r="AI127" s="252"/>
      <c r="AJ127" s="252"/>
      <c r="AK127" s="252"/>
      <c r="AL127" s="252"/>
      <c r="AM127" s="252"/>
      <c r="AN127" s="252"/>
      <c r="AO127" s="252"/>
      <c r="AP127" s="252"/>
      <c r="AQ127" s="252"/>
      <c r="AR127" s="252"/>
      <c r="AS127" s="252"/>
      <c r="AT127" s="252"/>
      <c r="AU127" s="252"/>
      <c r="AV127" s="252"/>
      <c r="AW127" s="252"/>
      <c r="AX127" s="252"/>
      <c r="AY127" s="252"/>
      <c r="AZ127" s="253">
        <f t="shared" si="126"/>
        <v>0</v>
      </c>
      <c r="BA127" s="252"/>
      <c r="BB127" s="252"/>
      <c r="BC127" s="253">
        <f t="shared" si="127"/>
        <v>0</v>
      </c>
      <c r="BD127" s="252"/>
      <c r="BE127" s="252"/>
      <c r="BF127" s="252"/>
      <c r="BG127" s="253">
        <f t="shared" si="128"/>
        <v>0</v>
      </c>
      <c r="BH127" s="252"/>
      <c r="BI127" s="252"/>
      <c r="BJ127" s="252"/>
      <c r="BK127" s="252"/>
      <c r="BL127" s="252"/>
      <c r="BM127" s="252"/>
      <c r="BN127" s="252"/>
      <c r="BO127" s="252"/>
      <c r="BP127" s="252"/>
      <c r="BQ127" s="252"/>
      <c r="BR127" s="254">
        <f t="shared" si="129"/>
        <v>0</v>
      </c>
      <c r="BS127" s="252"/>
      <c r="BT127" s="252"/>
      <c r="BU127" s="252"/>
      <c r="BV127" s="252"/>
      <c r="BW127" s="252"/>
      <c r="BX127" s="252"/>
      <c r="BY127" s="255">
        <f t="shared" si="124"/>
        <v>0</v>
      </c>
      <c r="BZ127" s="252">
        <f t="shared" si="125"/>
        <v>0</v>
      </c>
      <c r="CA127" s="252"/>
      <c r="CB127" s="252"/>
      <c r="CC127" s="221" t="s">
        <v>86</v>
      </c>
    </row>
    <row r="128" spans="1:81" ht="48" customHeight="1">
      <c r="A128" s="156" t="s">
        <v>411</v>
      </c>
      <c r="B128" s="161" t="s">
        <v>412</v>
      </c>
      <c r="C128" s="238">
        <f t="shared" si="111"/>
        <v>0</v>
      </c>
      <c r="D128" s="239"/>
      <c r="E128" s="239"/>
      <c r="F128" s="239"/>
      <c r="G128" s="239"/>
      <c r="H128" s="239"/>
      <c r="I128" s="239"/>
      <c r="J128" s="239"/>
      <c r="K128" s="239"/>
      <c r="L128" s="239"/>
      <c r="M128" s="239"/>
      <c r="N128" s="429"/>
      <c r="O128" s="276"/>
      <c r="P128" s="239"/>
      <c r="Q128" s="240">
        <f t="shared" si="122"/>
        <v>0</v>
      </c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239"/>
      <c r="AX128" s="239"/>
      <c r="AY128" s="239"/>
      <c r="AZ128" s="241">
        <f t="shared" si="126"/>
        <v>0</v>
      </c>
      <c r="BA128" s="239"/>
      <c r="BB128" s="239"/>
      <c r="BC128" s="241">
        <f t="shared" si="127"/>
        <v>0</v>
      </c>
      <c r="BD128" s="239"/>
      <c r="BE128" s="239"/>
      <c r="BF128" s="239"/>
      <c r="BG128" s="241">
        <f t="shared" si="128"/>
        <v>0</v>
      </c>
      <c r="BH128" s="239"/>
      <c r="BI128" s="239"/>
      <c r="BJ128" s="239"/>
      <c r="BK128" s="239"/>
      <c r="BL128" s="239"/>
      <c r="BM128" s="239"/>
      <c r="BN128" s="239"/>
      <c r="BO128" s="239"/>
      <c r="BP128" s="239"/>
      <c r="BQ128" s="239"/>
      <c r="BR128" s="242">
        <f t="shared" si="129"/>
        <v>0</v>
      </c>
      <c r="BS128" s="239"/>
      <c r="BT128" s="239"/>
      <c r="BU128" s="239"/>
      <c r="BV128" s="239"/>
      <c r="BW128" s="239"/>
      <c r="BX128" s="239"/>
      <c r="BY128" s="250">
        <f t="shared" si="124"/>
        <v>0</v>
      </c>
      <c r="BZ128" s="239">
        <f t="shared" si="125"/>
        <v>0</v>
      </c>
      <c r="CA128" s="239"/>
      <c r="CB128" s="239"/>
      <c r="CC128" s="221" t="s">
        <v>86</v>
      </c>
    </row>
    <row r="129" spans="1:81" ht="42" customHeight="1">
      <c r="A129" s="156" t="s">
        <v>413</v>
      </c>
      <c r="B129" s="161" t="s">
        <v>414</v>
      </c>
      <c r="C129" s="238">
        <f t="shared" si="111"/>
        <v>388431.18</v>
      </c>
      <c r="D129" s="239"/>
      <c r="E129" s="239"/>
      <c r="F129" s="239"/>
      <c r="G129" s="239"/>
      <c r="H129" s="239"/>
      <c r="I129" s="239"/>
      <c r="J129" s="239"/>
      <c r="K129" s="239"/>
      <c r="L129" s="239"/>
      <c r="M129" s="239"/>
      <c r="N129" s="429"/>
      <c r="O129" s="276">
        <v>388431.18</v>
      </c>
      <c r="P129" s="239"/>
      <c r="Q129" s="240">
        <f t="shared" si="122"/>
        <v>0</v>
      </c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239"/>
      <c r="AX129" s="239"/>
      <c r="AY129" s="239"/>
      <c r="AZ129" s="241">
        <f t="shared" si="126"/>
        <v>0</v>
      </c>
      <c r="BA129" s="239"/>
      <c r="BB129" s="239"/>
      <c r="BC129" s="241">
        <f t="shared" si="127"/>
        <v>0</v>
      </c>
      <c r="BD129" s="239"/>
      <c r="BE129" s="239"/>
      <c r="BF129" s="239"/>
      <c r="BG129" s="241">
        <f t="shared" si="128"/>
        <v>533971.24</v>
      </c>
      <c r="BH129" s="239"/>
      <c r="BI129" s="239">
        <v>533971.24</v>
      </c>
      <c r="BJ129" s="239"/>
      <c r="BK129" s="239"/>
      <c r="BL129" s="239"/>
      <c r="BM129" s="239"/>
      <c r="BN129" s="239"/>
      <c r="BO129" s="239"/>
      <c r="BP129" s="239"/>
      <c r="BQ129" s="239"/>
      <c r="BR129" s="242">
        <f t="shared" si="129"/>
        <v>0</v>
      </c>
      <c r="BS129" s="239"/>
      <c r="BT129" s="239"/>
      <c r="BU129" s="239"/>
      <c r="BV129" s="239"/>
      <c r="BW129" s="239"/>
      <c r="BX129" s="239"/>
      <c r="BY129" s="250">
        <f t="shared" si="124"/>
        <v>922402.41999999993</v>
      </c>
      <c r="BZ129" s="239">
        <f t="shared" si="125"/>
        <v>0</v>
      </c>
      <c r="CA129" s="239"/>
      <c r="CB129" s="239"/>
      <c r="CC129" s="221" t="s">
        <v>86</v>
      </c>
    </row>
    <row r="130" spans="1:81" ht="30.6">
      <c r="A130" s="166" t="s">
        <v>415</v>
      </c>
      <c r="B130" s="163" t="s">
        <v>416</v>
      </c>
      <c r="C130" s="251">
        <f t="shared" si="111"/>
        <v>334825</v>
      </c>
      <c r="D130" s="252">
        <v>334825</v>
      </c>
      <c r="E130" s="252"/>
      <c r="F130" s="252"/>
      <c r="G130" s="252"/>
      <c r="H130" s="252"/>
      <c r="I130" s="252"/>
      <c r="J130" s="252"/>
      <c r="K130" s="252"/>
      <c r="L130" s="252"/>
      <c r="M130" s="252"/>
      <c r="N130" s="431"/>
      <c r="O130" s="252"/>
      <c r="P130" s="252"/>
      <c r="Q130" s="256">
        <f t="shared" si="122"/>
        <v>0</v>
      </c>
      <c r="R130" s="252"/>
      <c r="S130" s="252"/>
      <c r="T130" s="252"/>
      <c r="U130" s="252"/>
      <c r="V130" s="252"/>
      <c r="W130" s="252"/>
      <c r="X130" s="252"/>
      <c r="Y130" s="252"/>
      <c r="Z130" s="252"/>
      <c r="AA130" s="252"/>
      <c r="AB130" s="252"/>
      <c r="AC130" s="252"/>
      <c r="AD130" s="252"/>
      <c r="AE130" s="252"/>
      <c r="AF130" s="252"/>
      <c r="AG130" s="252"/>
      <c r="AH130" s="252"/>
      <c r="AI130" s="252"/>
      <c r="AJ130" s="252"/>
      <c r="AK130" s="252"/>
      <c r="AL130" s="252"/>
      <c r="AM130" s="252"/>
      <c r="AN130" s="252"/>
      <c r="AO130" s="252"/>
      <c r="AP130" s="252"/>
      <c r="AQ130" s="252"/>
      <c r="AR130" s="252"/>
      <c r="AS130" s="252"/>
      <c r="AT130" s="252"/>
      <c r="AU130" s="252"/>
      <c r="AV130" s="252"/>
      <c r="AW130" s="252"/>
      <c r="AX130" s="252"/>
      <c r="AY130" s="252"/>
      <c r="AZ130" s="253">
        <f t="shared" si="126"/>
        <v>0</v>
      </c>
      <c r="BA130" s="252"/>
      <c r="BB130" s="252"/>
      <c r="BC130" s="253">
        <f t="shared" si="127"/>
        <v>0</v>
      </c>
      <c r="BD130" s="252"/>
      <c r="BE130" s="252"/>
      <c r="BF130" s="252"/>
      <c r="BG130" s="253">
        <f t="shared" si="128"/>
        <v>743099</v>
      </c>
      <c r="BH130" s="252"/>
      <c r="BI130" s="252">
        <v>603099</v>
      </c>
      <c r="BJ130" s="252"/>
      <c r="BK130" s="252"/>
      <c r="BL130" s="252"/>
      <c r="BM130" s="252"/>
      <c r="BN130" s="252"/>
      <c r="BO130" s="252"/>
      <c r="BP130" s="252"/>
      <c r="BQ130" s="252"/>
      <c r="BR130" s="254">
        <f t="shared" si="129"/>
        <v>140000</v>
      </c>
      <c r="BS130" s="252"/>
      <c r="BT130" s="252"/>
      <c r="BU130" s="252">
        <v>140000</v>
      </c>
      <c r="BV130" s="252"/>
      <c r="BW130" s="252"/>
      <c r="BX130" s="252"/>
      <c r="BY130" s="255">
        <f t="shared" si="124"/>
        <v>1077924</v>
      </c>
      <c r="BZ130" s="252">
        <f t="shared" si="125"/>
        <v>0</v>
      </c>
      <c r="CA130" s="252"/>
      <c r="CB130" s="252"/>
      <c r="CC130" s="221" t="s">
        <v>86</v>
      </c>
    </row>
    <row r="131" spans="1:81" ht="90">
      <c r="A131" s="156" t="s">
        <v>417</v>
      </c>
      <c r="B131" s="168" t="s">
        <v>418</v>
      </c>
      <c r="C131" s="238">
        <f t="shared" si="111"/>
        <v>0</v>
      </c>
      <c r="D131" s="239">
        <v>0</v>
      </c>
      <c r="E131" s="239"/>
      <c r="F131" s="239"/>
      <c r="G131" s="239"/>
      <c r="H131" s="239"/>
      <c r="I131" s="239"/>
      <c r="J131" s="239"/>
      <c r="K131" s="239"/>
      <c r="L131" s="239"/>
      <c r="M131" s="239"/>
      <c r="N131" s="429"/>
      <c r="O131" s="239"/>
      <c r="P131" s="239"/>
      <c r="Q131" s="240">
        <f t="shared" si="122"/>
        <v>0</v>
      </c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239"/>
      <c r="AX131" s="239"/>
      <c r="AY131" s="239"/>
      <c r="AZ131" s="241">
        <f t="shared" si="126"/>
        <v>0</v>
      </c>
      <c r="BA131" s="239"/>
      <c r="BB131" s="239"/>
      <c r="BC131" s="241">
        <f t="shared" si="127"/>
        <v>0</v>
      </c>
      <c r="BD131" s="239"/>
      <c r="BE131" s="239"/>
      <c r="BF131" s="239"/>
      <c r="BG131" s="241">
        <f t="shared" si="128"/>
        <v>78721.88</v>
      </c>
      <c r="BH131" s="239"/>
      <c r="BI131" s="239">
        <v>78721.88</v>
      </c>
      <c r="BJ131" s="239"/>
      <c r="BK131" s="239"/>
      <c r="BL131" s="239"/>
      <c r="BM131" s="239"/>
      <c r="BN131" s="239"/>
      <c r="BO131" s="239"/>
      <c r="BP131" s="239"/>
      <c r="BQ131" s="239"/>
      <c r="BR131" s="242">
        <f t="shared" si="129"/>
        <v>0</v>
      </c>
      <c r="BS131" s="239"/>
      <c r="BT131" s="239"/>
      <c r="BU131" s="239"/>
      <c r="BV131" s="239"/>
      <c r="BW131" s="239"/>
      <c r="BX131" s="239"/>
      <c r="BY131" s="250">
        <f t="shared" si="124"/>
        <v>78721.88</v>
      </c>
      <c r="BZ131" s="239">
        <f t="shared" si="125"/>
        <v>0</v>
      </c>
      <c r="CA131" s="239"/>
      <c r="CB131" s="239"/>
      <c r="CC131" s="221" t="s">
        <v>86</v>
      </c>
    </row>
    <row r="132" spans="1:81" ht="36">
      <c r="A132" s="156" t="s">
        <v>419</v>
      </c>
      <c r="B132" s="168" t="s">
        <v>420</v>
      </c>
      <c r="C132" s="238">
        <f t="shared" si="111"/>
        <v>5495018.4900000002</v>
      </c>
      <c r="D132" s="239">
        <f>SUM(D134:D136)</f>
        <v>5495018.4900000002</v>
      </c>
      <c r="E132" s="239">
        <f t="shared" ref="E132:BS132" si="252">SUM(E134:E136)</f>
        <v>0</v>
      </c>
      <c r="F132" s="239">
        <f t="shared" si="252"/>
        <v>0</v>
      </c>
      <c r="G132" s="239">
        <f t="shared" si="252"/>
        <v>0</v>
      </c>
      <c r="H132" s="239">
        <f t="shared" si="252"/>
        <v>0</v>
      </c>
      <c r="I132" s="239">
        <f t="shared" si="252"/>
        <v>0</v>
      </c>
      <c r="J132" s="239">
        <f t="shared" si="252"/>
        <v>0</v>
      </c>
      <c r="K132" s="239">
        <f t="shared" si="252"/>
        <v>0</v>
      </c>
      <c r="L132" s="239">
        <f t="shared" si="252"/>
        <v>0</v>
      </c>
      <c r="M132" s="239">
        <f t="shared" si="252"/>
        <v>0</v>
      </c>
      <c r="N132" s="429">
        <f t="shared" si="252"/>
        <v>0</v>
      </c>
      <c r="O132" s="239">
        <f t="shared" si="252"/>
        <v>0</v>
      </c>
      <c r="P132" s="239">
        <f t="shared" si="252"/>
        <v>0</v>
      </c>
      <c r="Q132" s="240">
        <f t="shared" si="122"/>
        <v>0</v>
      </c>
      <c r="R132" s="239">
        <f t="shared" si="252"/>
        <v>0</v>
      </c>
      <c r="S132" s="239">
        <f t="shared" si="252"/>
        <v>0</v>
      </c>
      <c r="T132" s="239">
        <f t="shared" si="252"/>
        <v>0</v>
      </c>
      <c r="U132" s="239">
        <f t="shared" si="252"/>
        <v>0</v>
      </c>
      <c r="V132" s="239">
        <f t="shared" si="252"/>
        <v>0</v>
      </c>
      <c r="W132" s="239">
        <f t="shared" si="252"/>
        <v>0</v>
      </c>
      <c r="X132" s="239">
        <f t="shared" si="252"/>
        <v>0</v>
      </c>
      <c r="Y132" s="239">
        <f t="shared" si="252"/>
        <v>0</v>
      </c>
      <c r="Z132" s="239">
        <f t="shared" si="252"/>
        <v>0</v>
      </c>
      <c r="AA132" s="239">
        <f t="shared" si="252"/>
        <v>0</v>
      </c>
      <c r="AB132" s="239">
        <f t="shared" si="252"/>
        <v>0</v>
      </c>
      <c r="AC132" s="239">
        <f t="shared" si="252"/>
        <v>0</v>
      </c>
      <c r="AD132" s="239">
        <f t="shared" si="252"/>
        <v>0</v>
      </c>
      <c r="AE132" s="239">
        <f t="shared" si="252"/>
        <v>0</v>
      </c>
      <c r="AF132" s="239">
        <f t="shared" si="252"/>
        <v>0</v>
      </c>
      <c r="AG132" s="239">
        <f t="shared" si="252"/>
        <v>0</v>
      </c>
      <c r="AH132" s="239">
        <f t="shared" si="252"/>
        <v>0</v>
      </c>
      <c r="AI132" s="239">
        <f t="shared" si="252"/>
        <v>0</v>
      </c>
      <c r="AJ132" s="239">
        <f t="shared" si="252"/>
        <v>0</v>
      </c>
      <c r="AK132" s="239">
        <f t="shared" si="252"/>
        <v>0</v>
      </c>
      <c r="AL132" s="239">
        <f t="shared" si="252"/>
        <v>0</v>
      </c>
      <c r="AM132" s="239">
        <f t="shared" si="252"/>
        <v>0</v>
      </c>
      <c r="AN132" s="239">
        <f t="shared" si="252"/>
        <v>0</v>
      </c>
      <c r="AO132" s="239">
        <f t="shared" si="252"/>
        <v>0</v>
      </c>
      <c r="AP132" s="239">
        <f t="shared" si="252"/>
        <v>0</v>
      </c>
      <c r="AQ132" s="239">
        <f t="shared" si="252"/>
        <v>0</v>
      </c>
      <c r="AR132" s="239">
        <f t="shared" si="252"/>
        <v>0</v>
      </c>
      <c r="AS132" s="239">
        <f t="shared" si="252"/>
        <v>0</v>
      </c>
      <c r="AT132" s="239">
        <f t="shared" si="252"/>
        <v>0</v>
      </c>
      <c r="AU132" s="239">
        <f t="shared" si="252"/>
        <v>0</v>
      </c>
      <c r="AV132" s="239">
        <f t="shared" si="252"/>
        <v>0</v>
      </c>
      <c r="AW132" s="239">
        <f t="shared" si="252"/>
        <v>0</v>
      </c>
      <c r="AX132" s="239">
        <f t="shared" si="252"/>
        <v>0</v>
      </c>
      <c r="AY132" s="239">
        <f t="shared" si="252"/>
        <v>0</v>
      </c>
      <c r="AZ132" s="241">
        <f t="shared" si="126"/>
        <v>0</v>
      </c>
      <c r="BA132" s="239">
        <f t="shared" si="252"/>
        <v>0</v>
      </c>
      <c r="BB132" s="239">
        <f t="shared" si="252"/>
        <v>0</v>
      </c>
      <c r="BC132" s="241">
        <f t="shared" si="127"/>
        <v>0</v>
      </c>
      <c r="BD132" s="239">
        <f t="shared" si="252"/>
        <v>0</v>
      </c>
      <c r="BE132" s="239">
        <f t="shared" si="252"/>
        <v>0</v>
      </c>
      <c r="BF132" s="239">
        <f t="shared" si="252"/>
        <v>0</v>
      </c>
      <c r="BG132" s="241">
        <f t="shared" si="128"/>
        <v>17303677.719999999</v>
      </c>
      <c r="BH132" s="239">
        <f t="shared" ref="BH132" si="253">SUM(BH134:BH136)</f>
        <v>0</v>
      </c>
      <c r="BI132" s="239">
        <f t="shared" si="252"/>
        <v>15953677.720000001</v>
      </c>
      <c r="BJ132" s="239">
        <f t="shared" si="252"/>
        <v>0</v>
      </c>
      <c r="BK132" s="239">
        <f t="shared" si="252"/>
        <v>0</v>
      </c>
      <c r="BL132" s="239">
        <f t="shared" si="252"/>
        <v>0</v>
      </c>
      <c r="BM132" s="239">
        <f t="shared" si="252"/>
        <v>0</v>
      </c>
      <c r="BN132" s="239">
        <f t="shared" si="252"/>
        <v>0</v>
      </c>
      <c r="BO132" s="239">
        <f t="shared" si="252"/>
        <v>0</v>
      </c>
      <c r="BP132" s="239">
        <f t="shared" si="252"/>
        <v>0</v>
      </c>
      <c r="BQ132" s="239">
        <f t="shared" si="252"/>
        <v>0</v>
      </c>
      <c r="BR132" s="242">
        <f t="shared" si="129"/>
        <v>1350000</v>
      </c>
      <c r="BS132" s="239">
        <f t="shared" si="252"/>
        <v>1350000</v>
      </c>
      <c r="BT132" s="239">
        <f>SUM(BT134:BT136)</f>
        <v>0</v>
      </c>
      <c r="BU132" s="239">
        <f>SUM(BU134:BU136)</f>
        <v>0</v>
      </c>
      <c r="BV132" s="239">
        <f>SUM(BV134:BV136)</f>
        <v>0</v>
      </c>
      <c r="BW132" s="239">
        <f>SUM(BW134:BW136)</f>
        <v>0</v>
      </c>
      <c r="BX132" s="239">
        <f>SUM(BX134:BX136)</f>
        <v>0</v>
      </c>
      <c r="BY132" s="250">
        <f t="shared" si="124"/>
        <v>22798696.210000001</v>
      </c>
      <c r="BZ132" s="239">
        <f t="shared" si="125"/>
        <v>0</v>
      </c>
      <c r="CA132" s="239">
        <f>SUM(CA134:CA136)</f>
        <v>0</v>
      </c>
      <c r="CB132" s="239">
        <f>SUM(CB134:CB136)</f>
        <v>0</v>
      </c>
      <c r="CC132" s="221" t="s">
        <v>86</v>
      </c>
    </row>
    <row r="133" spans="1:81" ht="18">
      <c r="A133" s="158" t="s">
        <v>9</v>
      </c>
      <c r="B133" s="167"/>
      <c r="C133" s="243">
        <f t="shared" si="111"/>
        <v>0</v>
      </c>
      <c r="D133" s="244"/>
      <c r="E133" s="244"/>
      <c r="F133" s="244"/>
      <c r="G133" s="244"/>
      <c r="H133" s="244"/>
      <c r="I133" s="244"/>
      <c r="J133" s="244"/>
      <c r="K133" s="244"/>
      <c r="L133" s="244"/>
      <c r="M133" s="244"/>
      <c r="N133" s="430"/>
      <c r="O133" s="244"/>
      <c r="P133" s="244"/>
      <c r="Q133" s="245">
        <f t="shared" si="122"/>
        <v>0</v>
      </c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  <c r="AJ133" s="244"/>
      <c r="AK133" s="244"/>
      <c r="AL133" s="244"/>
      <c r="AM133" s="244"/>
      <c r="AN133" s="244"/>
      <c r="AO133" s="244"/>
      <c r="AP133" s="244"/>
      <c r="AQ133" s="244"/>
      <c r="AR133" s="244"/>
      <c r="AS133" s="244"/>
      <c r="AT133" s="244"/>
      <c r="AU133" s="244"/>
      <c r="AV133" s="244"/>
      <c r="AW133" s="244"/>
      <c r="AX133" s="244"/>
      <c r="AY133" s="244"/>
      <c r="AZ133" s="246">
        <f t="shared" si="126"/>
        <v>0</v>
      </c>
      <c r="BA133" s="244"/>
      <c r="BB133" s="244"/>
      <c r="BC133" s="246">
        <f t="shared" si="127"/>
        <v>0</v>
      </c>
      <c r="BD133" s="244"/>
      <c r="BE133" s="244"/>
      <c r="BF133" s="244"/>
      <c r="BG133" s="246">
        <f t="shared" si="128"/>
        <v>0</v>
      </c>
      <c r="BH133" s="244"/>
      <c r="BI133" s="244"/>
      <c r="BJ133" s="244"/>
      <c r="BK133" s="244"/>
      <c r="BL133" s="244"/>
      <c r="BM133" s="244"/>
      <c r="BN133" s="244"/>
      <c r="BO133" s="244"/>
      <c r="BP133" s="244"/>
      <c r="BQ133" s="244"/>
      <c r="BR133" s="247">
        <f t="shared" si="129"/>
        <v>0</v>
      </c>
      <c r="BS133" s="244"/>
      <c r="BT133" s="244"/>
      <c r="BU133" s="244"/>
      <c r="BV133" s="244"/>
      <c r="BW133" s="244"/>
      <c r="BX133" s="244"/>
      <c r="BY133" s="248">
        <f t="shared" si="124"/>
        <v>0</v>
      </c>
      <c r="BZ133" s="244">
        <f t="shared" si="125"/>
        <v>0</v>
      </c>
      <c r="CA133" s="244"/>
      <c r="CB133" s="244"/>
      <c r="CC133" s="221" t="s">
        <v>86</v>
      </c>
    </row>
    <row r="134" spans="1:81" ht="54">
      <c r="A134" s="162" t="s">
        <v>421</v>
      </c>
      <c r="B134" s="163" t="s">
        <v>422</v>
      </c>
      <c r="C134" s="251">
        <f t="shared" si="111"/>
        <v>5495018.4900000002</v>
      </c>
      <c r="D134" s="252">
        <v>5495018.4900000002</v>
      </c>
      <c r="E134" s="252"/>
      <c r="F134" s="252"/>
      <c r="G134" s="252"/>
      <c r="H134" s="252"/>
      <c r="I134" s="252"/>
      <c r="J134" s="252"/>
      <c r="K134" s="252"/>
      <c r="L134" s="252"/>
      <c r="M134" s="252"/>
      <c r="N134" s="431"/>
      <c r="O134" s="252"/>
      <c r="P134" s="252"/>
      <c r="Q134" s="256">
        <f t="shared" si="122"/>
        <v>0</v>
      </c>
      <c r="R134" s="252"/>
      <c r="S134" s="252"/>
      <c r="T134" s="252"/>
      <c r="U134" s="252"/>
      <c r="V134" s="252"/>
      <c r="W134" s="252"/>
      <c r="X134" s="252"/>
      <c r="Y134" s="252"/>
      <c r="Z134" s="252"/>
      <c r="AA134" s="252"/>
      <c r="AB134" s="252"/>
      <c r="AC134" s="252"/>
      <c r="AD134" s="252"/>
      <c r="AE134" s="252"/>
      <c r="AF134" s="252"/>
      <c r="AG134" s="252"/>
      <c r="AH134" s="252"/>
      <c r="AI134" s="252"/>
      <c r="AJ134" s="252"/>
      <c r="AK134" s="252"/>
      <c r="AL134" s="252"/>
      <c r="AM134" s="252"/>
      <c r="AN134" s="252"/>
      <c r="AO134" s="252"/>
      <c r="AP134" s="252"/>
      <c r="AQ134" s="252"/>
      <c r="AR134" s="252"/>
      <c r="AS134" s="252"/>
      <c r="AT134" s="252"/>
      <c r="AU134" s="252"/>
      <c r="AV134" s="252"/>
      <c r="AW134" s="252"/>
      <c r="AX134" s="252"/>
      <c r="AY134" s="252"/>
      <c r="AZ134" s="253">
        <f t="shared" si="126"/>
        <v>0</v>
      </c>
      <c r="BA134" s="252"/>
      <c r="BB134" s="252"/>
      <c r="BC134" s="253">
        <f t="shared" si="127"/>
        <v>0</v>
      </c>
      <c r="BD134" s="252"/>
      <c r="BE134" s="252"/>
      <c r="BF134" s="252"/>
      <c r="BG134" s="253">
        <f t="shared" si="128"/>
        <v>17303677.719999999</v>
      </c>
      <c r="BH134" s="252"/>
      <c r="BI134" s="252">
        <v>15953677.720000001</v>
      </c>
      <c r="BJ134" s="252"/>
      <c r="BK134" s="252"/>
      <c r="BL134" s="252"/>
      <c r="BM134" s="252"/>
      <c r="BN134" s="252"/>
      <c r="BO134" s="252"/>
      <c r="BP134" s="252"/>
      <c r="BQ134" s="252"/>
      <c r="BR134" s="254">
        <f t="shared" si="129"/>
        <v>1350000</v>
      </c>
      <c r="BS134" s="252">
        <v>1350000</v>
      </c>
      <c r="BT134" s="252"/>
      <c r="BU134" s="252"/>
      <c r="BV134" s="252"/>
      <c r="BW134" s="252"/>
      <c r="BX134" s="252"/>
      <c r="BY134" s="255">
        <f t="shared" si="124"/>
        <v>22798696.210000001</v>
      </c>
      <c r="BZ134" s="252">
        <f t="shared" si="125"/>
        <v>0</v>
      </c>
      <c r="CA134" s="252"/>
      <c r="CB134" s="252"/>
      <c r="CC134" s="221" t="s">
        <v>86</v>
      </c>
    </row>
    <row r="135" spans="1:81" ht="144">
      <c r="A135" s="162" t="s">
        <v>423</v>
      </c>
      <c r="B135" s="163" t="s">
        <v>424</v>
      </c>
      <c r="C135" s="251">
        <f t="shared" si="111"/>
        <v>0</v>
      </c>
      <c r="D135" s="252"/>
      <c r="E135" s="252"/>
      <c r="F135" s="252"/>
      <c r="G135" s="252"/>
      <c r="H135" s="252"/>
      <c r="I135" s="252"/>
      <c r="J135" s="252"/>
      <c r="K135" s="252"/>
      <c r="L135" s="252"/>
      <c r="M135" s="252"/>
      <c r="N135" s="431"/>
      <c r="O135" s="252"/>
      <c r="P135" s="252"/>
      <c r="Q135" s="256">
        <f t="shared" si="122"/>
        <v>0</v>
      </c>
      <c r="R135" s="252"/>
      <c r="S135" s="252"/>
      <c r="T135" s="252"/>
      <c r="U135" s="252"/>
      <c r="V135" s="252"/>
      <c r="W135" s="252"/>
      <c r="X135" s="252"/>
      <c r="Y135" s="252"/>
      <c r="Z135" s="252"/>
      <c r="AA135" s="252"/>
      <c r="AB135" s="252"/>
      <c r="AC135" s="252"/>
      <c r="AD135" s="252"/>
      <c r="AE135" s="252"/>
      <c r="AF135" s="252"/>
      <c r="AG135" s="252"/>
      <c r="AH135" s="252"/>
      <c r="AI135" s="252"/>
      <c r="AJ135" s="252"/>
      <c r="AK135" s="252"/>
      <c r="AL135" s="252"/>
      <c r="AM135" s="252"/>
      <c r="AN135" s="252"/>
      <c r="AO135" s="252"/>
      <c r="AP135" s="252"/>
      <c r="AQ135" s="252"/>
      <c r="AR135" s="252"/>
      <c r="AS135" s="252"/>
      <c r="AT135" s="252"/>
      <c r="AU135" s="252"/>
      <c r="AV135" s="252"/>
      <c r="AW135" s="252"/>
      <c r="AX135" s="252"/>
      <c r="AY135" s="252"/>
      <c r="AZ135" s="253">
        <f t="shared" si="126"/>
        <v>0</v>
      </c>
      <c r="BA135" s="252"/>
      <c r="BB135" s="252"/>
      <c r="BC135" s="253">
        <f t="shared" si="127"/>
        <v>0</v>
      </c>
      <c r="BD135" s="252"/>
      <c r="BE135" s="252"/>
      <c r="BF135" s="252"/>
      <c r="BG135" s="253">
        <f t="shared" si="128"/>
        <v>0</v>
      </c>
      <c r="BH135" s="252"/>
      <c r="BI135" s="252"/>
      <c r="BJ135" s="252"/>
      <c r="BK135" s="252"/>
      <c r="BL135" s="252"/>
      <c r="BM135" s="252"/>
      <c r="BN135" s="252"/>
      <c r="BO135" s="252"/>
      <c r="BP135" s="252"/>
      <c r="BQ135" s="252"/>
      <c r="BR135" s="254">
        <f t="shared" si="129"/>
        <v>0</v>
      </c>
      <c r="BS135" s="252"/>
      <c r="BT135" s="252"/>
      <c r="BU135" s="252"/>
      <c r="BV135" s="252"/>
      <c r="BW135" s="252"/>
      <c r="BX135" s="252"/>
      <c r="BY135" s="255">
        <f t="shared" si="124"/>
        <v>0</v>
      </c>
      <c r="BZ135" s="252">
        <f t="shared" si="125"/>
        <v>0</v>
      </c>
      <c r="CA135" s="252"/>
      <c r="CB135" s="252"/>
      <c r="CC135" s="221" t="s">
        <v>86</v>
      </c>
    </row>
    <row r="136" spans="1:81" ht="54">
      <c r="A136" s="162" t="s">
        <v>425</v>
      </c>
      <c r="B136" s="163" t="s">
        <v>426</v>
      </c>
      <c r="C136" s="251">
        <f t="shared" si="111"/>
        <v>0</v>
      </c>
      <c r="D136" s="252"/>
      <c r="E136" s="252"/>
      <c r="F136" s="252"/>
      <c r="G136" s="252"/>
      <c r="H136" s="252"/>
      <c r="I136" s="252"/>
      <c r="J136" s="252"/>
      <c r="K136" s="252"/>
      <c r="L136" s="252"/>
      <c r="M136" s="252"/>
      <c r="N136" s="431"/>
      <c r="O136" s="252"/>
      <c r="P136" s="252"/>
      <c r="Q136" s="256">
        <f t="shared" si="122"/>
        <v>0</v>
      </c>
      <c r="R136" s="252"/>
      <c r="S136" s="252"/>
      <c r="T136" s="252"/>
      <c r="U136" s="252"/>
      <c r="V136" s="252"/>
      <c r="W136" s="252"/>
      <c r="X136" s="252"/>
      <c r="Y136" s="252"/>
      <c r="Z136" s="252"/>
      <c r="AA136" s="252"/>
      <c r="AB136" s="252"/>
      <c r="AC136" s="252"/>
      <c r="AD136" s="252"/>
      <c r="AE136" s="252"/>
      <c r="AF136" s="252"/>
      <c r="AG136" s="252"/>
      <c r="AH136" s="252"/>
      <c r="AI136" s="252"/>
      <c r="AJ136" s="252"/>
      <c r="AK136" s="252"/>
      <c r="AL136" s="252"/>
      <c r="AM136" s="252"/>
      <c r="AN136" s="252"/>
      <c r="AO136" s="252"/>
      <c r="AP136" s="252"/>
      <c r="AQ136" s="252"/>
      <c r="AR136" s="252"/>
      <c r="AS136" s="252"/>
      <c r="AT136" s="252"/>
      <c r="AU136" s="252"/>
      <c r="AV136" s="252"/>
      <c r="AW136" s="252"/>
      <c r="AX136" s="252"/>
      <c r="AY136" s="252"/>
      <c r="AZ136" s="253">
        <f t="shared" si="126"/>
        <v>0</v>
      </c>
      <c r="BA136" s="252"/>
      <c r="BB136" s="252"/>
      <c r="BC136" s="253">
        <f t="shared" si="127"/>
        <v>0</v>
      </c>
      <c r="BD136" s="252"/>
      <c r="BE136" s="252"/>
      <c r="BF136" s="252"/>
      <c r="BG136" s="253">
        <f t="shared" si="128"/>
        <v>0</v>
      </c>
      <c r="BH136" s="252"/>
      <c r="BI136" s="252"/>
      <c r="BJ136" s="252"/>
      <c r="BK136" s="252"/>
      <c r="BL136" s="252"/>
      <c r="BM136" s="252"/>
      <c r="BN136" s="252"/>
      <c r="BO136" s="252"/>
      <c r="BP136" s="252"/>
      <c r="BQ136" s="252"/>
      <c r="BR136" s="254">
        <f t="shared" si="129"/>
        <v>0</v>
      </c>
      <c r="BS136" s="252"/>
      <c r="BT136" s="252"/>
      <c r="BU136" s="252"/>
      <c r="BV136" s="252"/>
      <c r="BW136" s="252"/>
      <c r="BX136" s="252"/>
      <c r="BY136" s="255">
        <f t="shared" si="124"/>
        <v>0</v>
      </c>
      <c r="BZ136" s="252">
        <f t="shared" si="125"/>
        <v>0</v>
      </c>
      <c r="CA136" s="252"/>
      <c r="CB136" s="252"/>
      <c r="CC136" s="221" t="s">
        <v>86</v>
      </c>
    </row>
    <row r="137" spans="1:81" ht="54">
      <c r="A137" s="156" t="s">
        <v>427</v>
      </c>
      <c r="B137" s="169">
        <v>343</v>
      </c>
      <c r="C137" s="238">
        <f t="shared" si="111"/>
        <v>2506582.6</v>
      </c>
      <c r="D137" s="239">
        <f>SUM(D139:D142)</f>
        <v>2506582.6</v>
      </c>
      <c r="E137" s="239">
        <f t="shared" ref="E137:BS137" si="254">SUM(E139:E142)</f>
        <v>0</v>
      </c>
      <c r="F137" s="239">
        <f t="shared" si="254"/>
        <v>0</v>
      </c>
      <c r="G137" s="239">
        <f t="shared" si="254"/>
        <v>0</v>
      </c>
      <c r="H137" s="239">
        <f t="shared" si="254"/>
        <v>0</v>
      </c>
      <c r="I137" s="239">
        <f t="shared" si="254"/>
        <v>0</v>
      </c>
      <c r="J137" s="239">
        <f t="shared" si="254"/>
        <v>0</v>
      </c>
      <c r="K137" s="239">
        <f t="shared" si="254"/>
        <v>0</v>
      </c>
      <c r="L137" s="239">
        <f t="shared" si="254"/>
        <v>0</v>
      </c>
      <c r="M137" s="239">
        <f t="shared" si="254"/>
        <v>0</v>
      </c>
      <c r="N137" s="429">
        <f t="shared" si="254"/>
        <v>0</v>
      </c>
      <c r="O137" s="239">
        <f t="shared" si="254"/>
        <v>0</v>
      </c>
      <c r="P137" s="239">
        <f t="shared" si="254"/>
        <v>0</v>
      </c>
      <c r="Q137" s="240">
        <f t="shared" si="122"/>
        <v>0</v>
      </c>
      <c r="R137" s="239">
        <f t="shared" si="254"/>
        <v>0</v>
      </c>
      <c r="S137" s="239">
        <f t="shared" si="254"/>
        <v>0</v>
      </c>
      <c r="T137" s="239">
        <f t="shared" si="254"/>
        <v>0</v>
      </c>
      <c r="U137" s="239">
        <f t="shared" si="254"/>
        <v>0</v>
      </c>
      <c r="V137" s="239">
        <f t="shared" si="254"/>
        <v>0</v>
      </c>
      <c r="W137" s="239">
        <f t="shared" si="254"/>
        <v>0</v>
      </c>
      <c r="X137" s="239">
        <f t="shared" si="254"/>
        <v>0</v>
      </c>
      <c r="Y137" s="239">
        <f t="shared" si="254"/>
        <v>0</v>
      </c>
      <c r="Z137" s="239">
        <f t="shared" si="254"/>
        <v>0</v>
      </c>
      <c r="AA137" s="239">
        <f t="shared" si="254"/>
        <v>0</v>
      </c>
      <c r="AB137" s="239">
        <f t="shared" si="254"/>
        <v>0</v>
      </c>
      <c r="AC137" s="239">
        <f t="shared" si="254"/>
        <v>0</v>
      </c>
      <c r="AD137" s="239">
        <f t="shared" si="254"/>
        <v>0</v>
      </c>
      <c r="AE137" s="239">
        <f t="shared" si="254"/>
        <v>0</v>
      </c>
      <c r="AF137" s="239">
        <f t="shared" si="254"/>
        <v>0</v>
      </c>
      <c r="AG137" s="239">
        <f t="shared" si="254"/>
        <v>0</v>
      </c>
      <c r="AH137" s="239">
        <f t="shared" si="254"/>
        <v>0</v>
      </c>
      <c r="AI137" s="239">
        <f t="shared" si="254"/>
        <v>0</v>
      </c>
      <c r="AJ137" s="239">
        <f t="shared" si="254"/>
        <v>0</v>
      </c>
      <c r="AK137" s="239">
        <f t="shared" si="254"/>
        <v>0</v>
      </c>
      <c r="AL137" s="239">
        <f t="shared" si="254"/>
        <v>0</v>
      </c>
      <c r="AM137" s="239">
        <f t="shared" si="254"/>
        <v>0</v>
      </c>
      <c r="AN137" s="239">
        <f t="shared" si="254"/>
        <v>0</v>
      </c>
      <c r="AO137" s="239">
        <f t="shared" si="254"/>
        <v>0</v>
      </c>
      <c r="AP137" s="239">
        <f t="shared" si="254"/>
        <v>0</v>
      </c>
      <c r="AQ137" s="239">
        <f t="shared" si="254"/>
        <v>0</v>
      </c>
      <c r="AR137" s="239">
        <f t="shared" si="254"/>
        <v>0</v>
      </c>
      <c r="AS137" s="239">
        <f t="shared" si="254"/>
        <v>0</v>
      </c>
      <c r="AT137" s="239">
        <f t="shared" si="254"/>
        <v>0</v>
      </c>
      <c r="AU137" s="239">
        <f t="shared" si="254"/>
        <v>0</v>
      </c>
      <c r="AV137" s="239">
        <f t="shared" si="254"/>
        <v>0</v>
      </c>
      <c r="AW137" s="239">
        <f t="shared" si="254"/>
        <v>0</v>
      </c>
      <c r="AX137" s="239">
        <f t="shared" si="254"/>
        <v>0</v>
      </c>
      <c r="AY137" s="239">
        <f t="shared" si="254"/>
        <v>0</v>
      </c>
      <c r="AZ137" s="239">
        <f t="shared" si="126"/>
        <v>0</v>
      </c>
      <c r="BA137" s="239">
        <f t="shared" si="254"/>
        <v>0</v>
      </c>
      <c r="BB137" s="239">
        <f t="shared" si="254"/>
        <v>0</v>
      </c>
      <c r="BC137" s="241">
        <f t="shared" si="127"/>
        <v>0</v>
      </c>
      <c r="BD137" s="239">
        <f t="shared" si="254"/>
        <v>0</v>
      </c>
      <c r="BE137" s="239">
        <f t="shared" si="254"/>
        <v>0</v>
      </c>
      <c r="BF137" s="239">
        <f t="shared" si="254"/>
        <v>0</v>
      </c>
      <c r="BG137" s="241">
        <f t="shared" si="128"/>
        <v>1366174</v>
      </c>
      <c r="BH137" s="239">
        <f t="shared" ref="BH137" si="255">SUM(BH139:BH142)</f>
        <v>0</v>
      </c>
      <c r="BI137" s="239">
        <f t="shared" si="254"/>
        <v>1366174</v>
      </c>
      <c r="BJ137" s="239">
        <f t="shared" si="254"/>
        <v>0</v>
      </c>
      <c r="BK137" s="239">
        <f t="shared" si="254"/>
        <v>0</v>
      </c>
      <c r="BL137" s="239">
        <f t="shared" si="254"/>
        <v>0</v>
      </c>
      <c r="BM137" s="239">
        <f t="shared" si="254"/>
        <v>0</v>
      </c>
      <c r="BN137" s="239">
        <f t="shared" si="254"/>
        <v>0</v>
      </c>
      <c r="BO137" s="239">
        <f t="shared" si="254"/>
        <v>0</v>
      </c>
      <c r="BP137" s="239">
        <f t="shared" si="254"/>
        <v>0</v>
      </c>
      <c r="BQ137" s="239">
        <f t="shared" si="254"/>
        <v>0</v>
      </c>
      <c r="BR137" s="242">
        <f t="shared" si="129"/>
        <v>0</v>
      </c>
      <c r="BS137" s="239">
        <f t="shared" si="254"/>
        <v>0</v>
      </c>
      <c r="BT137" s="239">
        <f>SUM(BT139:BT142)</f>
        <v>0</v>
      </c>
      <c r="BU137" s="239">
        <f>SUM(BU139:BU142)</f>
        <v>0</v>
      </c>
      <c r="BV137" s="239">
        <f>SUM(BV139:BV142)</f>
        <v>0</v>
      </c>
      <c r="BW137" s="239">
        <f>SUM(BW139:BW142)</f>
        <v>0</v>
      </c>
      <c r="BX137" s="239">
        <f>SUM(BX139:BX142)</f>
        <v>0</v>
      </c>
      <c r="BY137" s="250">
        <f t="shared" si="124"/>
        <v>3872756.6</v>
      </c>
      <c r="BZ137" s="239">
        <f t="shared" si="125"/>
        <v>0</v>
      </c>
      <c r="CA137" s="239">
        <f>SUM(CA139:CA142)</f>
        <v>0</v>
      </c>
      <c r="CB137" s="239">
        <f>SUM(CB139:CB142)</f>
        <v>0</v>
      </c>
      <c r="CC137" s="221" t="s">
        <v>86</v>
      </c>
    </row>
    <row r="138" spans="1:81" ht="18">
      <c r="A138" s="158" t="s">
        <v>9</v>
      </c>
      <c r="B138" s="167"/>
      <c r="C138" s="243">
        <f t="shared" si="111"/>
        <v>0</v>
      </c>
      <c r="D138" s="244"/>
      <c r="E138" s="244"/>
      <c r="F138" s="244"/>
      <c r="G138" s="244"/>
      <c r="H138" s="244"/>
      <c r="I138" s="244"/>
      <c r="J138" s="244"/>
      <c r="K138" s="244"/>
      <c r="L138" s="244"/>
      <c r="M138" s="244"/>
      <c r="N138" s="430"/>
      <c r="O138" s="244"/>
      <c r="P138" s="244"/>
      <c r="Q138" s="245">
        <f t="shared" si="122"/>
        <v>0</v>
      </c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  <c r="AJ138" s="244"/>
      <c r="AK138" s="244"/>
      <c r="AL138" s="244"/>
      <c r="AM138" s="244"/>
      <c r="AN138" s="244"/>
      <c r="AO138" s="244"/>
      <c r="AP138" s="244"/>
      <c r="AQ138" s="244"/>
      <c r="AR138" s="244"/>
      <c r="AS138" s="244"/>
      <c r="AT138" s="244"/>
      <c r="AU138" s="244"/>
      <c r="AV138" s="244"/>
      <c r="AW138" s="244"/>
      <c r="AX138" s="244"/>
      <c r="AY138" s="244"/>
      <c r="AZ138" s="246">
        <f t="shared" si="126"/>
        <v>0</v>
      </c>
      <c r="BA138" s="244"/>
      <c r="BB138" s="244"/>
      <c r="BC138" s="246">
        <f t="shared" si="127"/>
        <v>0</v>
      </c>
      <c r="BD138" s="244"/>
      <c r="BE138" s="244"/>
      <c r="BF138" s="244"/>
      <c r="BG138" s="246">
        <f t="shared" si="128"/>
        <v>0</v>
      </c>
      <c r="BH138" s="244"/>
      <c r="BI138" s="244"/>
      <c r="BJ138" s="244"/>
      <c r="BK138" s="244"/>
      <c r="BL138" s="244"/>
      <c r="BM138" s="244"/>
      <c r="BN138" s="244"/>
      <c r="BO138" s="244"/>
      <c r="BP138" s="244"/>
      <c r="BQ138" s="244"/>
      <c r="BR138" s="247">
        <f t="shared" si="129"/>
        <v>0</v>
      </c>
      <c r="BS138" s="244"/>
      <c r="BT138" s="244"/>
      <c r="BU138" s="244"/>
      <c r="BV138" s="244"/>
      <c r="BW138" s="244"/>
      <c r="BX138" s="244"/>
      <c r="BY138" s="248">
        <f t="shared" si="124"/>
        <v>0</v>
      </c>
      <c r="BZ138" s="244">
        <f t="shared" si="125"/>
        <v>0</v>
      </c>
      <c r="CA138" s="244"/>
      <c r="CB138" s="244"/>
      <c r="CC138" s="221" t="s">
        <v>86</v>
      </c>
    </row>
    <row r="139" spans="1:81" ht="36">
      <c r="A139" s="162" t="s">
        <v>428</v>
      </c>
      <c r="B139" s="163" t="s">
        <v>429</v>
      </c>
      <c r="C139" s="251">
        <f t="shared" ref="C139:C153" si="256">SUM(D139:P139)</f>
        <v>0</v>
      </c>
      <c r="D139" s="252"/>
      <c r="E139" s="252"/>
      <c r="F139" s="252"/>
      <c r="G139" s="252"/>
      <c r="H139" s="252"/>
      <c r="I139" s="252"/>
      <c r="J139" s="252"/>
      <c r="K139" s="252"/>
      <c r="L139" s="252"/>
      <c r="M139" s="252"/>
      <c r="N139" s="431"/>
      <c r="O139" s="252"/>
      <c r="P139" s="252"/>
      <c r="Q139" s="256">
        <f t="shared" si="122"/>
        <v>0</v>
      </c>
      <c r="R139" s="252"/>
      <c r="S139" s="252"/>
      <c r="T139" s="252"/>
      <c r="U139" s="252"/>
      <c r="V139" s="252"/>
      <c r="W139" s="252"/>
      <c r="X139" s="252"/>
      <c r="Y139" s="252"/>
      <c r="Z139" s="252"/>
      <c r="AA139" s="252"/>
      <c r="AB139" s="252"/>
      <c r="AC139" s="252"/>
      <c r="AD139" s="252"/>
      <c r="AE139" s="252"/>
      <c r="AF139" s="252"/>
      <c r="AG139" s="252"/>
      <c r="AH139" s="252"/>
      <c r="AI139" s="252"/>
      <c r="AJ139" s="252"/>
      <c r="AK139" s="252"/>
      <c r="AL139" s="252"/>
      <c r="AM139" s="252"/>
      <c r="AN139" s="252"/>
      <c r="AO139" s="252"/>
      <c r="AP139" s="252"/>
      <c r="AQ139" s="252"/>
      <c r="AR139" s="252"/>
      <c r="AS139" s="252"/>
      <c r="AT139" s="252"/>
      <c r="AU139" s="252"/>
      <c r="AV139" s="252"/>
      <c r="AW139" s="252"/>
      <c r="AX139" s="252"/>
      <c r="AY139" s="252"/>
      <c r="AZ139" s="253">
        <f t="shared" si="126"/>
        <v>0</v>
      </c>
      <c r="BA139" s="252"/>
      <c r="BB139" s="252"/>
      <c r="BC139" s="253">
        <f t="shared" si="127"/>
        <v>0</v>
      </c>
      <c r="BD139" s="252"/>
      <c r="BE139" s="252"/>
      <c r="BF139" s="252"/>
      <c r="BG139" s="253">
        <f t="shared" si="128"/>
        <v>555000</v>
      </c>
      <c r="BH139" s="252"/>
      <c r="BI139" s="252">
        <v>555000</v>
      </c>
      <c r="BJ139" s="252"/>
      <c r="BK139" s="252"/>
      <c r="BL139" s="252"/>
      <c r="BM139" s="252"/>
      <c r="BN139" s="252"/>
      <c r="BO139" s="252"/>
      <c r="BP139" s="252"/>
      <c r="BQ139" s="252"/>
      <c r="BR139" s="254">
        <f t="shared" si="129"/>
        <v>0</v>
      </c>
      <c r="BS139" s="252"/>
      <c r="BT139" s="252"/>
      <c r="BU139" s="252"/>
      <c r="BV139" s="252"/>
      <c r="BW139" s="252"/>
      <c r="BX139" s="252"/>
      <c r="BY139" s="255">
        <f t="shared" si="124"/>
        <v>555000</v>
      </c>
      <c r="BZ139" s="252">
        <f t="shared" si="125"/>
        <v>0</v>
      </c>
      <c r="CA139" s="252"/>
      <c r="CB139" s="252"/>
      <c r="CC139" s="221" t="s">
        <v>86</v>
      </c>
    </row>
    <row r="140" spans="1:81" ht="18">
      <c r="A140" s="162" t="s">
        <v>430</v>
      </c>
      <c r="B140" s="163" t="s">
        <v>431</v>
      </c>
      <c r="C140" s="251">
        <f t="shared" si="256"/>
        <v>2506582.6</v>
      </c>
      <c r="D140" s="252">
        <v>2506582.6</v>
      </c>
      <c r="E140" s="252"/>
      <c r="F140" s="252"/>
      <c r="G140" s="252"/>
      <c r="H140" s="252"/>
      <c r="I140" s="252"/>
      <c r="J140" s="252"/>
      <c r="K140" s="252"/>
      <c r="L140" s="252"/>
      <c r="M140" s="252"/>
      <c r="N140" s="431"/>
      <c r="O140" s="252"/>
      <c r="P140" s="252"/>
      <c r="Q140" s="256">
        <f t="shared" si="122"/>
        <v>0</v>
      </c>
      <c r="R140" s="252"/>
      <c r="S140" s="252"/>
      <c r="T140" s="252"/>
      <c r="U140" s="252"/>
      <c r="V140" s="252"/>
      <c r="W140" s="252"/>
      <c r="X140" s="252"/>
      <c r="Y140" s="252"/>
      <c r="Z140" s="252"/>
      <c r="AA140" s="252"/>
      <c r="AB140" s="252"/>
      <c r="AC140" s="252"/>
      <c r="AD140" s="252"/>
      <c r="AE140" s="252"/>
      <c r="AF140" s="252"/>
      <c r="AG140" s="252"/>
      <c r="AH140" s="252"/>
      <c r="AI140" s="252"/>
      <c r="AJ140" s="252"/>
      <c r="AK140" s="252"/>
      <c r="AL140" s="252"/>
      <c r="AM140" s="252"/>
      <c r="AN140" s="252"/>
      <c r="AO140" s="252"/>
      <c r="AP140" s="252"/>
      <c r="AQ140" s="252"/>
      <c r="AR140" s="252"/>
      <c r="AS140" s="252"/>
      <c r="AT140" s="252"/>
      <c r="AU140" s="252"/>
      <c r="AV140" s="252"/>
      <c r="AW140" s="252"/>
      <c r="AX140" s="252"/>
      <c r="AY140" s="252"/>
      <c r="AZ140" s="253">
        <f t="shared" si="126"/>
        <v>0</v>
      </c>
      <c r="BA140" s="252"/>
      <c r="BB140" s="252"/>
      <c r="BC140" s="253">
        <f t="shared" si="127"/>
        <v>0</v>
      </c>
      <c r="BD140" s="252"/>
      <c r="BE140" s="252"/>
      <c r="BF140" s="252"/>
      <c r="BG140" s="253">
        <f t="shared" si="128"/>
        <v>811174</v>
      </c>
      <c r="BH140" s="252"/>
      <c r="BI140" s="252">
        <v>811174</v>
      </c>
      <c r="BJ140" s="252"/>
      <c r="BK140" s="252"/>
      <c r="BL140" s="252"/>
      <c r="BM140" s="252"/>
      <c r="BN140" s="252"/>
      <c r="BO140" s="252"/>
      <c r="BP140" s="252"/>
      <c r="BQ140" s="252"/>
      <c r="BR140" s="254">
        <f t="shared" si="129"/>
        <v>0</v>
      </c>
      <c r="BS140" s="252"/>
      <c r="BT140" s="252"/>
      <c r="BU140" s="252"/>
      <c r="BV140" s="252"/>
      <c r="BW140" s="252"/>
      <c r="BX140" s="252"/>
      <c r="BY140" s="255">
        <f t="shared" si="124"/>
        <v>3317756.6</v>
      </c>
      <c r="BZ140" s="252">
        <f t="shared" si="125"/>
        <v>0</v>
      </c>
      <c r="CA140" s="252"/>
      <c r="CB140" s="252"/>
      <c r="CC140" s="221" t="s">
        <v>86</v>
      </c>
    </row>
    <row r="141" spans="1:81" ht="18">
      <c r="A141" s="162" t="s">
        <v>432</v>
      </c>
      <c r="B141" s="163" t="s">
        <v>433</v>
      </c>
      <c r="C141" s="251">
        <f t="shared" si="256"/>
        <v>0</v>
      </c>
      <c r="D141" s="252"/>
      <c r="E141" s="252"/>
      <c r="F141" s="252"/>
      <c r="G141" s="252"/>
      <c r="H141" s="252"/>
      <c r="I141" s="252"/>
      <c r="J141" s="252"/>
      <c r="K141" s="252"/>
      <c r="L141" s="252"/>
      <c r="M141" s="252"/>
      <c r="N141" s="431"/>
      <c r="O141" s="252"/>
      <c r="P141" s="252"/>
      <c r="Q141" s="256">
        <f t="shared" si="122"/>
        <v>0</v>
      </c>
      <c r="R141" s="252"/>
      <c r="S141" s="252"/>
      <c r="T141" s="252"/>
      <c r="U141" s="252"/>
      <c r="V141" s="252"/>
      <c r="W141" s="252"/>
      <c r="X141" s="252"/>
      <c r="Y141" s="252"/>
      <c r="Z141" s="252"/>
      <c r="AA141" s="252"/>
      <c r="AB141" s="252"/>
      <c r="AC141" s="252"/>
      <c r="AD141" s="252"/>
      <c r="AE141" s="252"/>
      <c r="AF141" s="252"/>
      <c r="AG141" s="252"/>
      <c r="AH141" s="252"/>
      <c r="AI141" s="252"/>
      <c r="AJ141" s="252"/>
      <c r="AK141" s="252"/>
      <c r="AL141" s="252"/>
      <c r="AM141" s="252"/>
      <c r="AN141" s="252"/>
      <c r="AO141" s="252"/>
      <c r="AP141" s="252"/>
      <c r="AQ141" s="252"/>
      <c r="AR141" s="252"/>
      <c r="AS141" s="252"/>
      <c r="AT141" s="252"/>
      <c r="AU141" s="252"/>
      <c r="AV141" s="252"/>
      <c r="AW141" s="252"/>
      <c r="AX141" s="252"/>
      <c r="AY141" s="252"/>
      <c r="AZ141" s="253">
        <f t="shared" si="126"/>
        <v>0</v>
      </c>
      <c r="BA141" s="252"/>
      <c r="BB141" s="252"/>
      <c r="BC141" s="253">
        <f t="shared" si="127"/>
        <v>0</v>
      </c>
      <c r="BD141" s="252"/>
      <c r="BE141" s="252"/>
      <c r="BF141" s="252"/>
      <c r="BG141" s="253">
        <f t="shared" si="128"/>
        <v>0</v>
      </c>
      <c r="BH141" s="252"/>
      <c r="BI141" s="252"/>
      <c r="BJ141" s="252"/>
      <c r="BK141" s="252"/>
      <c r="BL141" s="252"/>
      <c r="BM141" s="252"/>
      <c r="BN141" s="252"/>
      <c r="BO141" s="252"/>
      <c r="BP141" s="252"/>
      <c r="BQ141" s="252"/>
      <c r="BR141" s="254">
        <f t="shared" si="129"/>
        <v>0</v>
      </c>
      <c r="BS141" s="252"/>
      <c r="BT141" s="252"/>
      <c r="BU141" s="252"/>
      <c r="BV141" s="252"/>
      <c r="BW141" s="252"/>
      <c r="BX141" s="252"/>
      <c r="BY141" s="255">
        <f t="shared" si="124"/>
        <v>0</v>
      </c>
      <c r="BZ141" s="252">
        <f t="shared" si="125"/>
        <v>0</v>
      </c>
      <c r="CA141" s="252"/>
      <c r="CB141" s="252"/>
      <c r="CC141" s="221" t="s">
        <v>86</v>
      </c>
    </row>
    <row r="142" spans="1:81" ht="18">
      <c r="A142" s="162" t="s">
        <v>434</v>
      </c>
      <c r="B142" s="163" t="s">
        <v>435</v>
      </c>
      <c r="C142" s="251">
        <f t="shared" si="256"/>
        <v>0</v>
      </c>
      <c r="D142" s="252"/>
      <c r="E142" s="252"/>
      <c r="F142" s="252"/>
      <c r="G142" s="252"/>
      <c r="H142" s="252"/>
      <c r="I142" s="252"/>
      <c r="J142" s="252"/>
      <c r="K142" s="252"/>
      <c r="L142" s="252"/>
      <c r="M142" s="252"/>
      <c r="N142" s="431"/>
      <c r="O142" s="252"/>
      <c r="P142" s="252"/>
      <c r="Q142" s="256">
        <f t="shared" si="122"/>
        <v>0</v>
      </c>
      <c r="R142" s="252"/>
      <c r="S142" s="252"/>
      <c r="T142" s="252"/>
      <c r="U142" s="252"/>
      <c r="V142" s="252"/>
      <c r="W142" s="252"/>
      <c r="X142" s="252"/>
      <c r="Y142" s="252"/>
      <c r="Z142" s="252"/>
      <c r="AA142" s="252"/>
      <c r="AB142" s="252"/>
      <c r="AC142" s="252"/>
      <c r="AD142" s="252"/>
      <c r="AE142" s="252"/>
      <c r="AF142" s="252"/>
      <c r="AG142" s="252"/>
      <c r="AH142" s="252"/>
      <c r="AI142" s="252"/>
      <c r="AJ142" s="252"/>
      <c r="AK142" s="252"/>
      <c r="AL142" s="252"/>
      <c r="AM142" s="252"/>
      <c r="AN142" s="252"/>
      <c r="AO142" s="252"/>
      <c r="AP142" s="252"/>
      <c r="AQ142" s="252"/>
      <c r="AR142" s="252"/>
      <c r="AS142" s="252"/>
      <c r="AT142" s="252"/>
      <c r="AU142" s="252"/>
      <c r="AV142" s="252"/>
      <c r="AW142" s="252"/>
      <c r="AX142" s="252"/>
      <c r="AY142" s="252"/>
      <c r="AZ142" s="253">
        <f t="shared" si="126"/>
        <v>0</v>
      </c>
      <c r="BA142" s="252"/>
      <c r="BB142" s="252"/>
      <c r="BC142" s="253">
        <f t="shared" si="127"/>
        <v>0</v>
      </c>
      <c r="BD142" s="252"/>
      <c r="BE142" s="252"/>
      <c r="BF142" s="252"/>
      <c r="BG142" s="253">
        <f t="shared" si="128"/>
        <v>0</v>
      </c>
      <c r="BH142" s="252"/>
      <c r="BI142" s="252"/>
      <c r="BJ142" s="252"/>
      <c r="BK142" s="252"/>
      <c r="BL142" s="252"/>
      <c r="BM142" s="252"/>
      <c r="BN142" s="252"/>
      <c r="BO142" s="252"/>
      <c r="BP142" s="252"/>
      <c r="BQ142" s="252"/>
      <c r="BR142" s="254">
        <f t="shared" si="129"/>
        <v>0</v>
      </c>
      <c r="BS142" s="252"/>
      <c r="BT142" s="252"/>
      <c r="BU142" s="252"/>
      <c r="BV142" s="252"/>
      <c r="BW142" s="252"/>
      <c r="BX142" s="252"/>
      <c r="BY142" s="255">
        <f t="shared" si="124"/>
        <v>0</v>
      </c>
      <c r="BZ142" s="252">
        <f t="shared" si="125"/>
        <v>0</v>
      </c>
      <c r="CA142" s="252"/>
      <c r="CB142" s="252"/>
      <c r="CC142" s="221" t="s">
        <v>86</v>
      </c>
    </row>
    <row r="143" spans="1:81" ht="36">
      <c r="A143" s="156" t="s">
        <v>436</v>
      </c>
      <c r="B143" s="169">
        <v>345</v>
      </c>
      <c r="C143" s="238">
        <f t="shared" ref="C143:C144" si="257">SUM(D143:P143)</f>
        <v>605235</v>
      </c>
      <c r="D143" s="239">
        <f>SUM(D145:D147)</f>
        <v>605235</v>
      </c>
      <c r="E143" s="239">
        <f t="shared" ref="E143:BF143" si="258">SUM(E145:E147)</f>
        <v>0</v>
      </c>
      <c r="F143" s="239">
        <f t="shared" si="258"/>
        <v>0</v>
      </c>
      <c r="G143" s="239">
        <f t="shared" si="258"/>
        <v>0</v>
      </c>
      <c r="H143" s="239">
        <f t="shared" si="258"/>
        <v>0</v>
      </c>
      <c r="I143" s="239">
        <f t="shared" si="258"/>
        <v>0</v>
      </c>
      <c r="J143" s="239">
        <f t="shared" si="258"/>
        <v>0</v>
      </c>
      <c r="K143" s="239">
        <f t="shared" si="258"/>
        <v>0</v>
      </c>
      <c r="L143" s="239">
        <f t="shared" si="258"/>
        <v>0</v>
      </c>
      <c r="M143" s="239">
        <f t="shared" si="258"/>
        <v>0</v>
      </c>
      <c r="N143" s="429">
        <f t="shared" si="258"/>
        <v>0</v>
      </c>
      <c r="O143" s="239">
        <f t="shared" si="258"/>
        <v>0</v>
      </c>
      <c r="P143" s="239">
        <f t="shared" si="258"/>
        <v>0</v>
      </c>
      <c r="Q143" s="240">
        <f t="shared" si="122"/>
        <v>0</v>
      </c>
      <c r="R143" s="239">
        <f t="shared" si="258"/>
        <v>0</v>
      </c>
      <c r="S143" s="239">
        <f t="shared" si="258"/>
        <v>0</v>
      </c>
      <c r="T143" s="239">
        <f t="shared" si="258"/>
        <v>0</v>
      </c>
      <c r="U143" s="239">
        <f t="shared" si="258"/>
        <v>0</v>
      </c>
      <c r="V143" s="239">
        <f t="shared" si="258"/>
        <v>0</v>
      </c>
      <c r="W143" s="239">
        <f t="shared" si="258"/>
        <v>0</v>
      </c>
      <c r="X143" s="239">
        <f t="shared" si="258"/>
        <v>0</v>
      </c>
      <c r="Y143" s="239">
        <f t="shared" si="258"/>
        <v>0</v>
      </c>
      <c r="Z143" s="239">
        <f t="shared" si="258"/>
        <v>0</v>
      </c>
      <c r="AA143" s="239">
        <f t="shared" si="258"/>
        <v>0</v>
      </c>
      <c r="AB143" s="239">
        <f t="shared" si="258"/>
        <v>0</v>
      </c>
      <c r="AC143" s="239">
        <f t="shared" si="258"/>
        <v>0</v>
      </c>
      <c r="AD143" s="239">
        <f t="shared" si="258"/>
        <v>0</v>
      </c>
      <c r="AE143" s="239">
        <f t="shared" si="258"/>
        <v>0</v>
      </c>
      <c r="AF143" s="239">
        <f t="shared" si="258"/>
        <v>0</v>
      </c>
      <c r="AG143" s="239">
        <f t="shared" si="258"/>
        <v>0</v>
      </c>
      <c r="AH143" s="239">
        <f t="shared" si="258"/>
        <v>0</v>
      </c>
      <c r="AI143" s="239">
        <f t="shared" si="258"/>
        <v>0</v>
      </c>
      <c r="AJ143" s="239">
        <f t="shared" si="258"/>
        <v>0</v>
      </c>
      <c r="AK143" s="239">
        <f t="shared" si="258"/>
        <v>0</v>
      </c>
      <c r="AL143" s="239">
        <f t="shared" si="258"/>
        <v>0</v>
      </c>
      <c r="AM143" s="239">
        <f t="shared" si="258"/>
        <v>0</v>
      </c>
      <c r="AN143" s="239">
        <f t="shared" si="258"/>
        <v>0</v>
      </c>
      <c r="AO143" s="239">
        <f t="shared" si="258"/>
        <v>0</v>
      </c>
      <c r="AP143" s="239">
        <f t="shared" si="258"/>
        <v>0</v>
      </c>
      <c r="AQ143" s="239">
        <f t="shared" si="258"/>
        <v>0</v>
      </c>
      <c r="AR143" s="239">
        <f t="shared" si="258"/>
        <v>0</v>
      </c>
      <c r="AS143" s="239">
        <f t="shared" si="258"/>
        <v>0</v>
      </c>
      <c r="AT143" s="239">
        <f t="shared" si="258"/>
        <v>0</v>
      </c>
      <c r="AU143" s="239">
        <f t="shared" si="258"/>
        <v>0</v>
      </c>
      <c r="AV143" s="239">
        <f t="shared" si="258"/>
        <v>0</v>
      </c>
      <c r="AW143" s="239">
        <f t="shared" si="258"/>
        <v>0</v>
      </c>
      <c r="AX143" s="239">
        <f t="shared" si="258"/>
        <v>0</v>
      </c>
      <c r="AY143" s="239">
        <f t="shared" si="258"/>
        <v>0</v>
      </c>
      <c r="AZ143" s="241">
        <f t="shared" ref="AZ143:AZ144" si="259">SUM(BA143:BB143)</f>
        <v>0</v>
      </c>
      <c r="BA143" s="239">
        <f t="shared" si="258"/>
        <v>0</v>
      </c>
      <c r="BB143" s="239">
        <f t="shared" si="258"/>
        <v>0</v>
      </c>
      <c r="BC143" s="241">
        <f t="shared" ref="BC143:BC144" si="260">SUM(BD143:BF143)</f>
        <v>0</v>
      </c>
      <c r="BD143" s="239">
        <f t="shared" si="258"/>
        <v>0</v>
      </c>
      <c r="BE143" s="239">
        <f t="shared" si="258"/>
        <v>0</v>
      </c>
      <c r="BF143" s="239">
        <f t="shared" si="258"/>
        <v>0</v>
      </c>
      <c r="BG143" s="241">
        <f>SUM(BI143:BR143,BV143:BX143)</f>
        <v>187009</v>
      </c>
      <c r="BH143" s="239">
        <f>SUM(BH145:BH147)</f>
        <v>0</v>
      </c>
      <c r="BI143" s="239">
        <f>SUM(BI145:BI147)</f>
        <v>187009</v>
      </c>
      <c r="BJ143" s="239">
        <f t="shared" ref="BJ143:BP143" si="261">SUM(BJ145:BJ147)</f>
        <v>0</v>
      </c>
      <c r="BK143" s="239">
        <f t="shared" si="261"/>
        <v>0</v>
      </c>
      <c r="BL143" s="239">
        <f t="shared" si="261"/>
        <v>0</v>
      </c>
      <c r="BM143" s="239">
        <f t="shared" si="261"/>
        <v>0</v>
      </c>
      <c r="BN143" s="239">
        <f t="shared" si="261"/>
        <v>0</v>
      </c>
      <c r="BO143" s="239">
        <f t="shared" si="261"/>
        <v>0</v>
      </c>
      <c r="BP143" s="239">
        <f t="shared" si="261"/>
        <v>0</v>
      </c>
      <c r="BQ143" s="239">
        <f>SUM(BQ145:BQ147)</f>
        <v>0</v>
      </c>
      <c r="BR143" s="242">
        <f>SUM(BS143:BU143)</f>
        <v>0</v>
      </c>
      <c r="BS143" s="239">
        <f>SUM(BS145:BS147)</f>
        <v>0</v>
      </c>
      <c r="BT143" s="239">
        <f t="shared" ref="BT143:BX143" si="262">SUM(BT145:BT147)</f>
        <v>0</v>
      </c>
      <c r="BU143" s="239">
        <f t="shared" si="262"/>
        <v>0</v>
      </c>
      <c r="BV143" s="239">
        <f t="shared" si="262"/>
        <v>0</v>
      </c>
      <c r="BW143" s="239">
        <f t="shared" si="262"/>
        <v>0</v>
      </c>
      <c r="BX143" s="239">
        <f t="shared" si="262"/>
        <v>0</v>
      </c>
      <c r="BY143" s="250">
        <f>SUM(C143,Q143,AZ143,BC143,BG143)</f>
        <v>792244</v>
      </c>
      <c r="BZ143" s="239">
        <f>SUM(CA145:CA147)</f>
        <v>0</v>
      </c>
      <c r="CA143" s="239">
        <f>SUM(CB145:CB147)</f>
        <v>0</v>
      </c>
      <c r="CB143" s="239" t="s">
        <v>86</v>
      </c>
      <c r="CC143" s="221"/>
    </row>
    <row r="144" spans="1:81" ht="18">
      <c r="A144" s="158" t="s">
        <v>9</v>
      </c>
      <c r="B144" s="167"/>
      <c r="C144" s="243">
        <f t="shared" si="257"/>
        <v>0</v>
      </c>
      <c r="D144" s="244"/>
      <c r="E144" s="244"/>
      <c r="F144" s="244"/>
      <c r="G144" s="244"/>
      <c r="H144" s="244"/>
      <c r="I144" s="244"/>
      <c r="J144" s="244"/>
      <c r="K144" s="244"/>
      <c r="L144" s="244"/>
      <c r="M144" s="244"/>
      <c r="N144" s="430"/>
      <c r="O144" s="244"/>
      <c r="P144" s="244"/>
      <c r="Q144" s="245">
        <f t="shared" si="122"/>
        <v>0</v>
      </c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  <c r="AJ144" s="244"/>
      <c r="AK144" s="244"/>
      <c r="AL144" s="244"/>
      <c r="AM144" s="244"/>
      <c r="AN144" s="244"/>
      <c r="AO144" s="244"/>
      <c r="AP144" s="244"/>
      <c r="AQ144" s="244"/>
      <c r="AR144" s="244"/>
      <c r="AS144" s="244"/>
      <c r="AT144" s="244"/>
      <c r="AU144" s="244"/>
      <c r="AV144" s="244"/>
      <c r="AW144" s="244"/>
      <c r="AX144" s="244"/>
      <c r="AY144" s="244"/>
      <c r="AZ144" s="246">
        <f t="shared" si="259"/>
        <v>0</v>
      </c>
      <c r="BA144" s="244"/>
      <c r="BB144" s="244"/>
      <c r="BC144" s="246">
        <f t="shared" si="260"/>
        <v>0</v>
      </c>
      <c r="BD144" s="244"/>
      <c r="BE144" s="244"/>
      <c r="BF144" s="244"/>
      <c r="BG144" s="246">
        <f>SUM(BI144:BR144,BV144:BX144)</f>
        <v>0</v>
      </c>
      <c r="BH144" s="244"/>
      <c r="BI144" s="244"/>
      <c r="BJ144" s="244"/>
      <c r="BK144" s="244"/>
      <c r="BL144" s="244"/>
      <c r="BM144" s="244"/>
      <c r="BN144" s="244"/>
      <c r="BO144" s="244"/>
      <c r="BP144" s="244"/>
      <c r="BQ144" s="244"/>
      <c r="BR144" s="247">
        <f t="shared" ref="BR144" si="263">SUM(BS144:BU144)</f>
        <v>0</v>
      </c>
      <c r="BS144" s="244"/>
      <c r="BT144" s="244"/>
      <c r="BU144" s="244"/>
      <c r="BV144" s="244"/>
      <c r="BW144" s="244"/>
      <c r="BX144" s="244"/>
      <c r="BY144" s="248">
        <f>SUM(C144,Q144,AZ144,BC144,BG144)</f>
        <v>0</v>
      </c>
      <c r="BZ144" s="244">
        <f t="shared" ref="BZ144" si="264">SUM(CA144:CB144)</f>
        <v>0</v>
      </c>
      <c r="CA144" s="244"/>
      <c r="CB144" s="244" t="s">
        <v>86</v>
      </c>
      <c r="CC144" s="221"/>
    </row>
    <row r="145" spans="1:81" ht="54">
      <c r="A145" s="162" t="s">
        <v>437</v>
      </c>
      <c r="B145" s="163" t="s">
        <v>438</v>
      </c>
      <c r="C145" s="251">
        <f t="shared" si="256"/>
        <v>453395</v>
      </c>
      <c r="D145" s="252">
        <v>453395</v>
      </c>
      <c r="E145" s="252"/>
      <c r="F145" s="252"/>
      <c r="G145" s="252"/>
      <c r="H145" s="252"/>
      <c r="I145" s="252"/>
      <c r="J145" s="252"/>
      <c r="K145" s="252"/>
      <c r="L145" s="252"/>
      <c r="M145" s="252"/>
      <c r="N145" s="431"/>
      <c r="O145" s="252"/>
      <c r="P145" s="252"/>
      <c r="Q145" s="256">
        <f t="shared" si="122"/>
        <v>0</v>
      </c>
      <c r="R145" s="252"/>
      <c r="S145" s="252"/>
      <c r="T145" s="252"/>
      <c r="U145" s="252"/>
      <c r="V145" s="252"/>
      <c r="W145" s="252"/>
      <c r="X145" s="252"/>
      <c r="Y145" s="252"/>
      <c r="Z145" s="252"/>
      <c r="AA145" s="252"/>
      <c r="AB145" s="252"/>
      <c r="AC145" s="252"/>
      <c r="AD145" s="252"/>
      <c r="AE145" s="252"/>
      <c r="AF145" s="252"/>
      <c r="AG145" s="252"/>
      <c r="AH145" s="252"/>
      <c r="AI145" s="252"/>
      <c r="AJ145" s="252"/>
      <c r="AK145" s="252"/>
      <c r="AL145" s="252"/>
      <c r="AM145" s="252"/>
      <c r="AN145" s="252"/>
      <c r="AO145" s="252"/>
      <c r="AP145" s="252"/>
      <c r="AQ145" s="252"/>
      <c r="AR145" s="252"/>
      <c r="AS145" s="252"/>
      <c r="AT145" s="252"/>
      <c r="AU145" s="252"/>
      <c r="AV145" s="252"/>
      <c r="AW145" s="252"/>
      <c r="AX145" s="252"/>
      <c r="AY145" s="252"/>
      <c r="AZ145" s="253">
        <f t="shared" si="126"/>
        <v>0</v>
      </c>
      <c r="BA145" s="252"/>
      <c r="BB145" s="252"/>
      <c r="BC145" s="253">
        <f t="shared" si="127"/>
        <v>0</v>
      </c>
      <c r="BD145" s="252"/>
      <c r="BE145" s="252"/>
      <c r="BF145" s="252"/>
      <c r="BG145" s="253">
        <f t="shared" si="128"/>
        <v>178850</v>
      </c>
      <c r="BH145" s="252"/>
      <c r="BI145" s="252">
        <v>178850</v>
      </c>
      <c r="BJ145" s="252"/>
      <c r="BK145" s="252"/>
      <c r="BL145" s="252"/>
      <c r="BM145" s="252"/>
      <c r="BN145" s="252"/>
      <c r="BO145" s="252"/>
      <c r="BP145" s="252"/>
      <c r="BQ145" s="252"/>
      <c r="BR145" s="254">
        <f t="shared" si="129"/>
        <v>0</v>
      </c>
      <c r="BS145" s="252"/>
      <c r="BT145" s="252"/>
      <c r="BU145" s="252"/>
      <c r="BV145" s="252"/>
      <c r="BW145" s="252"/>
      <c r="BX145" s="252"/>
      <c r="BY145" s="255">
        <f t="shared" si="124"/>
        <v>632245</v>
      </c>
      <c r="BZ145" s="252">
        <f t="shared" si="125"/>
        <v>0</v>
      </c>
      <c r="CA145" s="252"/>
      <c r="CB145" s="252"/>
      <c r="CC145" s="221" t="s">
        <v>86</v>
      </c>
    </row>
    <row r="146" spans="1:81" ht="54">
      <c r="A146" s="162" t="s">
        <v>439</v>
      </c>
      <c r="B146" s="163" t="s">
        <v>440</v>
      </c>
      <c r="C146" s="251">
        <f t="shared" si="256"/>
        <v>0</v>
      </c>
      <c r="D146" s="252"/>
      <c r="E146" s="252"/>
      <c r="F146" s="252"/>
      <c r="G146" s="252"/>
      <c r="H146" s="252"/>
      <c r="I146" s="252"/>
      <c r="J146" s="252"/>
      <c r="K146" s="252"/>
      <c r="L146" s="252"/>
      <c r="M146" s="252"/>
      <c r="N146" s="431"/>
      <c r="O146" s="252"/>
      <c r="P146" s="252"/>
      <c r="Q146" s="256">
        <f t="shared" si="122"/>
        <v>0</v>
      </c>
      <c r="R146" s="252"/>
      <c r="S146" s="252"/>
      <c r="T146" s="252"/>
      <c r="U146" s="252"/>
      <c r="V146" s="252"/>
      <c r="W146" s="252"/>
      <c r="X146" s="252"/>
      <c r="Y146" s="252"/>
      <c r="Z146" s="252"/>
      <c r="AA146" s="252"/>
      <c r="AB146" s="252"/>
      <c r="AC146" s="252"/>
      <c r="AD146" s="252"/>
      <c r="AE146" s="252"/>
      <c r="AF146" s="252"/>
      <c r="AG146" s="252"/>
      <c r="AH146" s="252"/>
      <c r="AI146" s="252"/>
      <c r="AJ146" s="252"/>
      <c r="AK146" s="252"/>
      <c r="AL146" s="252"/>
      <c r="AM146" s="252"/>
      <c r="AN146" s="252"/>
      <c r="AO146" s="252"/>
      <c r="AP146" s="252"/>
      <c r="AQ146" s="252"/>
      <c r="AR146" s="252"/>
      <c r="AS146" s="252"/>
      <c r="AT146" s="252"/>
      <c r="AU146" s="252"/>
      <c r="AV146" s="252"/>
      <c r="AW146" s="252"/>
      <c r="AX146" s="252"/>
      <c r="AY146" s="252"/>
      <c r="AZ146" s="253">
        <f t="shared" si="126"/>
        <v>0</v>
      </c>
      <c r="BA146" s="252"/>
      <c r="BB146" s="252"/>
      <c r="BC146" s="253">
        <f t="shared" si="127"/>
        <v>0</v>
      </c>
      <c r="BD146" s="252"/>
      <c r="BE146" s="252"/>
      <c r="BF146" s="252"/>
      <c r="BG146" s="253">
        <f t="shared" si="128"/>
        <v>0</v>
      </c>
      <c r="BH146" s="252"/>
      <c r="BI146" s="252"/>
      <c r="BJ146" s="252"/>
      <c r="BK146" s="252"/>
      <c r="BL146" s="252"/>
      <c r="BM146" s="252"/>
      <c r="BN146" s="252"/>
      <c r="BO146" s="252"/>
      <c r="BP146" s="252"/>
      <c r="BQ146" s="252"/>
      <c r="BR146" s="254">
        <f t="shared" si="129"/>
        <v>0</v>
      </c>
      <c r="BS146" s="252"/>
      <c r="BT146" s="252"/>
      <c r="BU146" s="252"/>
      <c r="BV146" s="252"/>
      <c r="BW146" s="252"/>
      <c r="BX146" s="252"/>
      <c r="BY146" s="255">
        <f t="shared" si="124"/>
        <v>0</v>
      </c>
      <c r="BZ146" s="252">
        <f t="shared" si="125"/>
        <v>0</v>
      </c>
      <c r="CA146" s="252"/>
      <c r="CB146" s="252"/>
      <c r="CC146" s="221" t="s">
        <v>86</v>
      </c>
    </row>
    <row r="147" spans="1:81" ht="54">
      <c r="A147" s="162" t="s">
        <v>441</v>
      </c>
      <c r="B147" s="163" t="s">
        <v>442</v>
      </c>
      <c r="C147" s="251">
        <f t="shared" si="256"/>
        <v>151840</v>
      </c>
      <c r="D147" s="252">
        <v>151840</v>
      </c>
      <c r="E147" s="252"/>
      <c r="F147" s="252"/>
      <c r="G147" s="252"/>
      <c r="H147" s="252"/>
      <c r="I147" s="252"/>
      <c r="J147" s="252"/>
      <c r="K147" s="252"/>
      <c r="L147" s="252"/>
      <c r="M147" s="252"/>
      <c r="N147" s="431"/>
      <c r="O147" s="252"/>
      <c r="P147" s="252"/>
      <c r="Q147" s="256">
        <f t="shared" si="122"/>
        <v>0</v>
      </c>
      <c r="R147" s="252"/>
      <c r="S147" s="252"/>
      <c r="T147" s="252"/>
      <c r="U147" s="252"/>
      <c r="V147" s="252"/>
      <c r="W147" s="252"/>
      <c r="X147" s="252"/>
      <c r="Y147" s="252"/>
      <c r="Z147" s="252"/>
      <c r="AA147" s="252"/>
      <c r="AB147" s="252"/>
      <c r="AC147" s="252"/>
      <c r="AD147" s="252"/>
      <c r="AE147" s="252"/>
      <c r="AF147" s="252"/>
      <c r="AG147" s="252"/>
      <c r="AH147" s="252"/>
      <c r="AI147" s="252"/>
      <c r="AJ147" s="252"/>
      <c r="AK147" s="252"/>
      <c r="AL147" s="252"/>
      <c r="AM147" s="252"/>
      <c r="AN147" s="252"/>
      <c r="AO147" s="252"/>
      <c r="AP147" s="252"/>
      <c r="AQ147" s="252"/>
      <c r="AR147" s="252"/>
      <c r="AS147" s="252"/>
      <c r="AT147" s="252"/>
      <c r="AU147" s="252"/>
      <c r="AV147" s="252"/>
      <c r="AW147" s="252"/>
      <c r="AX147" s="252"/>
      <c r="AY147" s="252"/>
      <c r="AZ147" s="253">
        <f t="shared" si="126"/>
        <v>0</v>
      </c>
      <c r="BA147" s="252"/>
      <c r="BB147" s="252"/>
      <c r="BC147" s="253">
        <f t="shared" si="127"/>
        <v>0</v>
      </c>
      <c r="BD147" s="252"/>
      <c r="BE147" s="252"/>
      <c r="BF147" s="252"/>
      <c r="BG147" s="253">
        <f t="shared" si="128"/>
        <v>8159</v>
      </c>
      <c r="BH147" s="252"/>
      <c r="BI147" s="252">
        <v>8159</v>
      </c>
      <c r="BJ147" s="252"/>
      <c r="BK147" s="252"/>
      <c r="BL147" s="252"/>
      <c r="BM147" s="252"/>
      <c r="BN147" s="252"/>
      <c r="BO147" s="252"/>
      <c r="BP147" s="252"/>
      <c r="BQ147" s="252"/>
      <c r="BR147" s="254">
        <f t="shared" si="129"/>
        <v>0</v>
      </c>
      <c r="BS147" s="252"/>
      <c r="BT147" s="252"/>
      <c r="BU147" s="252"/>
      <c r="BV147" s="252"/>
      <c r="BW147" s="252"/>
      <c r="BX147" s="252"/>
      <c r="BY147" s="255">
        <f t="shared" si="124"/>
        <v>159999</v>
      </c>
      <c r="BZ147" s="252">
        <f t="shared" si="125"/>
        <v>0</v>
      </c>
      <c r="CA147" s="252"/>
      <c r="CB147" s="252"/>
      <c r="CC147" s="221" t="s">
        <v>86</v>
      </c>
    </row>
    <row r="148" spans="1:81" ht="54">
      <c r="A148" s="156" t="s">
        <v>443</v>
      </c>
      <c r="B148" s="169">
        <v>346</v>
      </c>
      <c r="C148" s="238">
        <f t="shared" si="256"/>
        <v>1373216.62</v>
      </c>
      <c r="D148" s="239">
        <v>337164.19</v>
      </c>
      <c r="E148" s="239"/>
      <c r="F148" s="239"/>
      <c r="G148" s="239"/>
      <c r="H148" s="239"/>
      <c r="I148" s="239"/>
      <c r="J148" s="239"/>
      <c r="K148" s="239"/>
      <c r="L148" s="239"/>
      <c r="M148" s="239"/>
      <c r="N148" s="429"/>
      <c r="O148" s="276">
        <v>1036052.43</v>
      </c>
      <c r="P148" s="239"/>
      <c r="Q148" s="240">
        <f t="shared" si="122"/>
        <v>0</v>
      </c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239"/>
      <c r="AX148" s="239"/>
      <c r="AY148" s="239"/>
      <c r="AZ148" s="241">
        <f t="shared" si="126"/>
        <v>0</v>
      </c>
      <c r="BA148" s="239"/>
      <c r="BB148" s="239"/>
      <c r="BC148" s="241">
        <f t="shared" si="127"/>
        <v>0</v>
      </c>
      <c r="BD148" s="239"/>
      <c r="BE148" s="239"/>
      <c r="BF148" s="239"/>
      <c r="BG148" s="241">
        <f t="shared" si="128"/>
        <v>796473.21</v>
      </c>
      <c r="BH148" s="239"/>
      <c r="BI148" s="239">
        <f>188669.36+287453.85</f>
        <v>476123.20999999996</v>
      </c>
      <c r="BJ148" s="239"/>
      <c r="BK148" s="239"/>
      <c r="BL148" s="239"/>
      <c r="BM148" s="239">
        <v>17350</v>
      </c>
      <c r="BN148" s="239"/>
      <c r="BO148" s="239"/>
      <c r="BP148" s="239"/>
      <c r="BQ148" s="239">
        <v>93000</v>
      </c>
      <c r="BR148" s="242">
        <f t="shared" si="129"/>
        <v>210000</v>
      </c>
      <c r="BS148" s="239"/>
      <c r="BT148" s="239">
        <v>84000</v>
      </c>
      <c r="BU148" s="239">
        <v>126000</v>
      </c>
      <c r="BV148" s="239"/>
      <c r="BW148" s="239"/>
      <c r="BX148" s="239"/>
      <c r="BY148" s="250">
        <f t="shared" si="124"/>
        <v>2169689.83</v>
      </c>
      <c r="BZ148" s="239">
        <f t="shared" si="125"/>
        <v>0</v>
      </c>
      <c r="CA148" s="239"/>
      <c r="CB148" s="239"/>
      <c r="CC148" s="221" t="s">
        <v>86</v>
      </c>
    </row>
    <row r="149" spans="1:81" ht="72">
      <c r="A149" s="156" t="s">
        <v>444</v>
      </c>
      <c r="B149" s="169" t="s">
        <v>445</v>
      </c>
      <c r="C149" s="238">
        <f t="shared" si="256"/>
        <v>17935</v>
      </c>
      <c r="D149" s="239"/>
      <c r="E149" s="239"/>
      <c r="F149" s="239"/>
      <c r="G149" s="239"/>
      <c r="H149" s="239"/>
      <c r="I149" s="239"/>
      <c r="J149" s="239"/>
      <c r="K149" s="239"/>
      <c r="L149" s="239"/>
      <c r="M149" s="239"/>
      <c r="N149" s="429"/>
      <c r="O149" s="276">
        <v>17935</v>
      </c>
      <c r="P149" s="239"/>
      <c r="Q149" s="240">
        <f t="shared" si="122"/>
        <v>0</v>
      </c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239"/>
      <c r="AX149" s="239"/>
      <c r="AY149" s="239"/>
      <c r="AZ149" s="241">
        <f t="shared" si="126"/>
        <v>0</v>
      </c>
      <c r="BA149" s="239"/>
      <c r="BB149" s="239"/>
      <c r="BC149" s="241">
        <f t="shared" si="127"/>
        <v>0</v>
      </c>
      <c r="BD149" s="239"/>
      <c r="BE149" s="239"/>
      <c r="BF149" s="239"/>
      <c r="BG149" s="241">
        <f t="shared" si="128"/>
        <v>109362</v>
      </c>
      <c r="BH149" s="239"/>
      <c r="BI149" s="239">
        <v>109362</v>
      </c>
      <c r="BJ149" s="239"/>
      <c r="BK149" s="239"/>
      <c r="BL149" s="239"/>
      <c r="BM149" s="239"/>
      <c r="BN149" s="239"/>
      <c r="BO149" s="239"/>
      <c r="BP149" s="239"/>
      <c r="BQ149" s="239"/>
      <c r="BR149" s="242">
        <f t="shared" si="129"/>
        <v>0</v>
      </c>
      <c r="BS149" s="239"/>
      <c r="BT149" s="239"/>
      <c r="BU149" s="239"/>
      <c r="BV149" s="239"/>
      <c r="BW149" s="239"/>
      <c r="BX149" s="239"/>
      <c r="BY149" s="250">
        <f t="shared" si="124"/>
        <v>127297</v>
      </c>
      <c r="BZ149" s="239">
        <f t="shared" si="125"/>
        <v>0</v>
      </c>
      <c r="CA149" s="239"/>
      <c r="CB149" s="239"/>
      <c r="CC149" s="221" t="s">
        <v>86</v>
      </c>
    </row>
    <row r="150" spans="1:81" ht="36">
      <c r="A150" s="156" t="s">
        <v>597</v>
      </c>
      <c r="B150" s="161" t="s">
        <v>1038</v>
      </c>
      <c r="C150" s="238">
        <f t="shared" si="256"/>
        <v>2503477.2400000002</v>
      </c>
      <c r="D150" s="239">
        <f>2418755.81+80289.43</f>
        <v>2499045.2400000002</v>
      </c>
      <c r="E150" s="239"/>
      <c r="F150" s="239"/>
      <c r="G150" s="239"/>
      <c r="H150" s="239"/>
      <c r="I150" s="239"/>
      <c r="J150" s="239"/>
      <c r="K150" s="239"/>
      <c r="L150" s="239"/>
      <c r="M150" s="239"/>
      <c r="N150" s="429"/>
      <c r="O150" s="239">
        <v>4432</v>
      </c>
      <c r="P150" s="239"/>
      <c r="Q150" s="240">
        <f t="shared" si="122"/>
        <v>0</v>
      </c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239"/>
      <c r="AX150" s="239"/>
      <c r="AY150" s="239"/>
      <c r="AZ150" s="241">
        <f t="shared" si="126"/>
        <v>0</v>
      </c>
      <c r="BA150" s="239"/>
      <c r="BB150" s="239"/>
      <c r="BC150" s="241">
        <f t="shared" si="127"/>
        <v>0</v>
      </c>
      <c r="BD150" s="239"/>
      <c r="BE150" s="239"/>
      <c r="BF150" s="239"/>
      <c r="BG150" s="241">
        <f t="shared" si="128"/>
        <v>3149267.45</v>
      </c>
      <c r="BH150" s="239"/>
      <c r="BI150" s="239">
        <f>1882235.98+287453.85+979577.62</f>
        <v>3149267.45</v>
      </c>
      <c r="BJ150" s="239"/>
      <c r="BK150" s="239"/>
      <c r="BL150" s="239"/>
      <c r="BM150" s="239"/>
      <c r="BN150" s="239"/>
      <c r="BO150" s="239"/>
      <c r="BP150" s="239"/>
      <c r="BQ150" s="239"/>
      <c r="BR150" s="242">
        <f t="shared" si="129"/>
        <v>0</v>
      </c>
      <c r="BS150" s="239"/>
      <c r="BT150" s="239"/>
      <c r="BU150" s="239"/>
      <c r="BV150" s="239"/>
      <c r="BW150" s="239"/>
      <c r="BX150" s="239"/>
      <c r="BY150" s="250">
        <f t="shared" si="124"/>
        <v>5652744.6900000004</v>
      </c>
      <c r="BZ150" s="239">
        <f t="shared" si="125"/>
        <v>0</v>
      </c>
      <c r="CA150" s="239"/>
      <c r="CB150" s="239"/>
      <c r="CC150" s="221" t="s">
        <v>86</v>
      </c>
    </row>
    <row r="151" spans="1:81" ht="72">
      <c r="A151" s="269" t="s">
        <v>591</v>
      </c>
      <c r="B151" s="270">
        <v>2700</v>
      </c>
      <c r="C151" s="238">
        <f t="shared" si="256"/>
        <v>198837.6</v>
      </c>
      <c r="D151" s="239">
        <v>198837.6</v>
      </c>
      <c r="E151" s="239"/>
      <c r="F151" s="239"/>
      <c r="G151" s="239"/>
      <c r="H151" s="239"/>
      <c r="I151" s="239"/>
      <c r="J151" s="239"/>
      <c r="K151" s="239"/>
      <c r="L151" s="239"/>
      <c r="M151" s="239"/>
      <c r="N151" s="429"/>
      <c r="O151" s="239"/>
      <c r="P151" s="239"/>
      <c r="Q151" s="240">
        <f t="shared" si="122"/>
        <v>0</v>
      </c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239"/>
      <c r="AX151" s="239"/>
      <c r="AY151" s="239"/>
      <c r="AZ151" s="241">
        <f t="shared" si="126"/>
        <v>0</v>
      </c>
      <c r="BA151" s="239"/>
      <c r="BB151" s="239"/>
      <c r="BC151" s="241">
        <f t="shared" si="127"/>
        <v>0</v>
      </c>
      <c r="BD151" s="239"/>
      <c r="BE151" s="239"/>
      <c r="BF151" s="239"/>
      <c r="BG151" s="241">
        <f t="shared" si="128"/>
        <v>12000</v>
      </c>
      <c r="BH151" s="239"/>
      <c r="BI151" s="239">
        <v>12000</v>
      </c>
      <c r="BJ151" s="239"/>
      <c r="BK151" s="239"/>
      <c r="BL151" s="239"/>
      <c r="BM151" s="239"/>
      <c r="BN151" s="239"/>
      <c r="BO151" s="239"/>
      <c r="BP151" s="239"/>
      <c r="BQ151" s="239"/>
      <c r="BR151" s="242">
        <f t="shared" si="129"/>
        <v>0</v>
      </c>
      <c r="BS151" s="239"/>
      <c r="BT151" s="239"/>
      <c r="BU151" s="239"/>
      <c r="BV151" s="239"/>
      <c r="BW151" s="239"/>
      <c r="BX151" s="239"/>
      <c r="BY151" s="250">
        <f t="shared" si="124"/>
        <v>210837.6</v>
      </c>
      <c r="BZ151" s="239">
        <f t="shared" si="125"/>
        <v>0</v>
      </c>
      <c r="CA151" s="239"/>
      <c r="CB151" s="239"/>
      <c r="CC151" s="221" t="s">
        <v>86</v>
      </c>
    </row>
    <row r="152" spans="1:81" ht="52.2">
      <c r="A152" s="149" t="s">
        <v>598</v>
      </c>
      <c r="B152" s="271">
        <v>3000</v>
      </c>
      <c r="C152" s="207">
        <f t="shared" si="256"/>
        <v>0</v>
      </c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427"/>
      <c r="O152" s="211"/>
      <c r="P152" s="211"/>
      <c r="Q152" s="207">
        <f t="shared" si="122"/>
        <v>0</v>
      </c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  <c r="AH152" s="211"/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3">
        <f t="shared" si="126"/>
        <v>0</v>
      </c>
      <c r="BA152" s="211"/>
      <c r="BB152" s="211"/>
      <c r="BC152" s="213">
        <f t="shared" si="127"/>
        <v>0</v>
      </c>
      <c r="BD152" s="211"/>
      <c r="BE152" s="211"/>
      <c r="BF152" s="211"/>
      <c r="BG152" s="213">
        <f t="shared" si="128"/>
        <v>-500000</v>
      </c>
      <c r="BH152" s="211"/>
      <c r="BI152" s="211">
        <v>-500000</v>
      </c>
      <c r="BJ152" s="211"/>
      <c r="BK152" s="211"/>
      <c r="BL152" s="211"/>
      <c r="BM152" s="211"/>
      <c r="BN152" s="211"/>
      <c r="BO152" s="211"/>
      <c r="BP152" s="211"/>
      <c r="BQ152" s="211"/>
      <c r="BR152" s="216">
        <f t="shared" si="129"/>
        <v>0</v>
      </c>
      <c r="BS152" s="211"/>
      <c r="BT152" s="211"/>
      <c r="BU152" s="211"/>
      <c r="BV152" s="211"/>
      <c r="BW152" s="211"/>
      <c r="BX152" s="211"/>
      <c r="BY152" s="213">
        <f t="shared" si="124"/>
        <v>-500000</v>
      </c>
      <c r="BZ152" s="211">
        <f t="shared" si="125"/>
        <v>0</v>
      </c>
      <c r="CA152" s="211"/>
      <c r="CB152" s="211"/>
      <c r="CC152" s="221" t="s">
        <v>86</v>
      </c>
    </row>
    <row r="153" spans="1:81" ht="18">
      <c r="A153" s="149" t="s">
        <v>599</v>
      </c>
      <c r="B153" s="271" t="s">
        <v>592</v>
      </c>
      <c r="C153" s="207">
        <f t="shared" si="256"/>
        <v>0</v>
      </c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427"/>
      <c r="O153" s="211"/>
      <c r="P153" s="211"/>
      <c r="Q153" s="207">
        <f t="shared" si="122"/>
        <v>0</v>
      </c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3">
        <f t="shared" si="126"/>
        <v>0</v>
      </c>
      <c r="BA153" s="211"/>
      <c r="BB153" s="211"/>
      <c r="BC153" s="213">
        <f t="shared" si="127"/>
        <v>0</v>
      </c>
      <c r="BD153" s="211"/>
      <c r="BE153" s="211"/>
      <c r="BF153" s="211"/>
      <c r="BG153" s="213">
        <f t="shared" si="128"/>
        <v>0</v>
      </c>
      <c r="BH153" s="211"/>
      <c r="BI153" s="211"/>
      <c r="BJ153" s="211"/>
      <c r="BK153" s="211"/>
      <c r="BL153" s="211"/>
      <c r="BM153" s="211"/>
      <c r="BN153" s="211"/>
      <c r="BO153" s="211"/>
      <c r="BP153" s="211"/>
      <c r="BQ153" s="211"/>
      <c r="BR153" s="216">
        <f t="shared" si="129"/>
        <v>0</v>
      </c>
      <c r="BS153" s="211"/>
      <c r="BT153" s="211"/>
      <c r="BU153" s="211"/>
      <c r="BV153" s="211"/>
      <c r="BW153" s="211"/>
      <c r="BX153" s="211"/>
      <c r="BY153" s="213">
        <f t="shared" si="124"/>
        <v>0</v>
      </c>
      <c r="BZ153" s="211">
        <f t="shared" si="125"/>
        <v>0</v>
      </c>
      <c r="CA153" s="211"/>
      <c r="CB153" s="211"/>
      <c r="CC153" s="221" t="s">
        <v>86</v>
      </c>
    </row>
  </sheetData>
  <autoFilter ref="A22:CC153"/>
  <mergeCells count="232">
    <mergeCell ref="A31:A32"/>
    <mergeCell ref="B31:B32"/>
    <mergeCell ref="A33:A34"/>
    <mergeCell ref="B33:B34"/>
    <mergeCell ref="CA19:CA21"/>
    <mergeCell ref="AW19:AW21"/>
    <mergeCell ref="AX19:AX21"/>
    <mergeCell ref="AY19:AY21"/>
    <mergeCell ref="AZ19:AZ21"/>
    <mergeCell ref="BA19:BB19"/>
    <mergeCell ref="BC19:BC21"/>
    <mergeCell ref="BD19:BF19"/>
    <mergeCell ref="AI19:AI21"/>
    <mergeCell ref="AJ19:AJ21"/>
    <mergeCell ref="AK19:AK21"/>
    <mergeCell ref="AL19:AL21"/>
    <mergeCell ref="AM19:AM21"/>
    <mergeCell ref="AN19:AN21"/>
    <mergeCell ref="AO19:AO21"/>
    <mergeCell ref="AP19:AP21"/>
    <mergeCell ref="BZ19:BZ21"/>
    <mergeCell ref="AS19:AS21"/>
    <mergeCell ref="AT19:AT21"/>
    <mergeCell ref="AU19:AU21"/>
    <mergeCell ref="AV19:AV21"/>
    <mergeCell ref="A23:A24"/>
    <mergeCell ref="B23:B24"/>
    <mergeCell ref="A25:A26"/>
    <mergeCell ref="B25:B26"/>
    <mergeCell ref="BP20:BP21"/>
    <mergeCell ref="BG19:BG21"/>
    <mergeCell ref="BI19:BL19"/>
    <mergeCell ref="BM19:BP19"/>
    <mergeCell ref="P19:P20"/>
    <mergeCell ref="BQ19:BQ21"/>
    <mergeCell ref="BR19:BU19"/>
    <mergeCell ref="BV19:BV21"/>
    <mergeCell ref="BW19:BW21"/>
    <mergeCell ref="BX19:BX21"/>
    <mergeCell ref="D20:M20"/>
    <mergeCell ref="N20:O20"/>
    <mergeCell ref="BI20:BI21"/>
    <mergeCell ref="BJ20:BJ21"/>
    <mergeCell ref="BK20:BK21"/>
    <mergeCell ref="BL20:BL21"/>
    <mergeCell ref="BM20:BM21"/>
    <mergeCell ref="BN20:BN21"/>
    <mergeCell ref="BO20:BO21"/>
    <mergeCell ref="AQ19:AQ21"/>
    <mergeCell ref="AR19:AR21"/>
    <mergeCell ref="AA19:AA21"/>
    <mergeCell ref="AB19:AB21"/>
    <mergeCell ref="AC19:AC21"/>
    <mergeCell ref="AD19:AD21"/>
    <mergeCell ref="AE19:AE21"/>
    <mergeCell ref="AF19:AF21"/>
    <mergeCell ref="AG19:AG21"/>
    <mergeCell ref="AH19:AH21"/>
    <mergeCell ref="CA16:CA17"/>
    <mergeCell ref="CB16:CB17"/>
    <mergeCell ref="A18:A21"/>
    <mergeCell ref="B18:B21"/>
    <mergeCell ref="C18:P18"/>
    <mergeCell ref="Q18:Q21"/>
    <mergeCell ref="R18:AY18"/>
    <mergeCell ref="AZ18:BB18"/>
    <mergeCell ref="BC18:BF18"/>
    <mergeCell ref="BG18:BX18"/>
    <mergeCell ref="BY18:BY21"/>
    <mergeCell ref="BZ18:CB18"/>
    <mergeCell ref="C19:C21"/>
    <mergeCell ref="D19:O19"/>
    <mergeCell ref="R19:R21"/>
    <mergeCell ref="S19:S21"/>
    <mergeCell ref="T19:T21"/>
    <mergeCell ref="U19:U21"/>
    <mergeCell ref="V19:V21"/>
    <mergeCell ref="W19:W21"/>
    <mergeCell ref="X19:X21"/>
    <mergeCell ref="Y19:Y21"/>
    <mergeCell ref="Z19:Z21"/>
    <mergeCell ref="CB19:CB21"/>
    <mergeCell ref="BA16:BB16"/>
    <mergeCell ref="BC16:BC17"/>
    <mergeCell ref="BD16:BF16"/>
    <mergeCell ref="BI16:BI17"/>
    <mergeCell ref="BJ16:BJ17"/>
    <mergeCell ref="BK16:BK17"/>
    <mergeCell ref="BL16:BL17"/>
    <mergeCell ref="BM16:BM17"/>
    <mergeCell ref="BZ16:BZ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Z14:CB14"/>
    <mergeCell ref="C15:C17"/>
    <mergeCell ref="D15:O15"/>
    <mergeCell ref="BG15:BG17"/>
    <mergeCell ref="BI15:BL15"/>
    <mergeCell ref="BM15:BP15"/>
    <mergeCell ref="BQ15:BQ17"/>
    <mergeCell ref="BR15:BU15"/>
    <mergeCell ref="BV15:BV17"/>
    <mergeCell ref="BW15:BW17"/>
    <mergeCell ref="BX15:BX17"/>
    <mergeCell ref="D16:M16"/>
    <mergeCell ref="N16:O16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Q16:AQ17"/>
    <mergeCell ref="A14:A17"/>
    <mergeCell ref="B14:B17"/>
    <mergeCell ref="C14:P14"/>
    <mergeCell ref="Q14:Q17"/>
    <mergeCell ref="R14:AY14"/>
    <mergeCell ref="AZ14:BB14"/>
    <mergeCell ref="BC14:BF14"/>
    <mergeCell ref="BG14:BX14"/>
    <mergeCell ref="BY14:BY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CA11:CA13"/>
    <mergeCell ref="CB11:CB13"/>
    <mergeCell ref="D12:M12"/>
    <mergeCell ref="N12:O12"/>
    <mergeCell ref="BI12:BI13"/>
    <mergeCell ref="BJ12:BJ13"/>
    <mergeCell ref="BK12:BK13"/>
    <mergeCell ref="BL12:BL13"/>
    <mergeCell ref="BM12:BM13"/>
    <mergeCell ref="BN12:BN13"/>
    <mergeCell ref="BO12:BO13"/>
    <mergeCell ref="BP12:BP13"/>
    <mergeCell ref="BQ11:BQ13"/>
    <mergeCell ref="BR11:BU11"/>
    <mergeCell ref="BV11:BV13"/>
    <mergeCell ref="BW11:BW13"/>
    <mergeCell ref="BX11:BX13"/>
    <mergeCell ref="BZ11:BZ13"/>
    <mergeCell ref="AV11:AV13"/>
    <mergeCell ref="AW11:AW13"/>
    <mergeCell ref="AX11:AX13"/>
    <mergeCell ref="AY11:AY13"/>
    <mergeCell ref="AZ11:AZ13"/>
    <mergeCell ref="BA11:BB11"/>
    <mergeCell ref="BY1:CB1"/>
    <mergeCell ref="BZ2:CB2"/>
    <mergeCell ref="D4:P4"/>
    <mergeCell ref="D6:P6"/>
    <mergeCell ref="CA7:CB7"/>
    <mergeCell ref="A8:CB8"/>
    <mergeCell ref="A9:CB9"/>
    <mergeCell ref="A10:A13"/>
    <mergeCell ref="B10:B13"/>
    <mergeCell ref="C10:P10"/>
    <mergeCell ref="Q10:AY10"/>
    <mergeCell ref="AZ10:BB10"/>
    <mergeCell ref="BC10:BF10"/>
    <mergeCell ref="BG10:BX10"/>
    <mergeCell ref="BY10:BY13"/>
    <mergeCell ref="BZ10:CB10"/>
    <mergeCell ref="C11:C13"/>
    <mergeCell ref="D11:O11"/>
    <mergeCell ref="Q11:Q13"/>
    <mergeCell ref="R11:R13"/>
    <mergeCell ref="S11:S13"/>
    <mergeCell ref="T11:T13"/>
    <mergeCell ref="U11:U13"/>
    <mergeCell ref="V11:V13"/>
    <mergeCell ref="P15:P16"/>
    <mergeCell ref="BN16:BN17"/>
    <mergeCell ref="BO16:BO17"/>
    <mergeCell ref="BP16:BP17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  <mergeCell ref="AF11:AF13"/>
    <mergeCell ref="AG11:AG13"/>
    <mergeCell ref="AH11:AH13"/>
    <mergeCell ref="BG11:BG13"/>
    <mergeCell ref="BI11:BL11"/>
    <mergeCell ref="BM11:BP11"/>
    <mergeCell ref="AR11:AR13"/>
    <mergeCell ref="AS11:AS13"/>
    <mergeCell ref="AT11:AT13"/>
    <mergeCell ref="AU11:AU13"/>
    <mergeCell ref="P11:P12"/>
    <mergeCell ref="BH11:BH13"/>
    <mergeCell ref="BC11:BC13"/>
    <mergeCell ref="BD11:BF11"/>
    <mergeCell ref="AI11:AI13"/>
    <mergeCell ref="AJ11:AJ13"/>
    <mergeCell ref="AK11:AK13"/>
    <mergeCell ref="AL11:AL13"/>
    <mergeCell ref="AM11:AM13"/>
    <mergeCell ref="AN11:AN13"/>
    <mergeCell ref="AO11:AO13"/>
    <mergeCell ref="AP11:AP13"/>
    <mergeCell ref="AQ11:AQ13"/>
  </mergeCells>
  <phoneticPr fontId="27" type="noConversion"/>
  <pageMargins left="0.27559055118110237" right="0.19685039370078741" top="0.19685039370078741" bottom="0.35433070866141736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E193"/>
  <sheetViews>
    <sheetView topLeftCell="X1" zoomScale="80" zoomScaleNormal="80" workbookViewId="0">
      <selection activeCell="AD13" sqref="AD13"/>
    </sheetView>
  </sheetViews>
  <sheetFormatPr defaultRowHeight="15.6"/>
  <cols>
    <col min="1" max="1" width="8.8984375" customWidth="1"/>
    <col min="2" max="2" width="25.69921875" customWidth="1"/>
    <col min="3" max="3" width="14.3984375" customWidth="1"/>
    <col min="4" max="4" width="8.8984375" bestFit="1" customWidth="1"/>
    <col min="5" max="5" width="8.19921875" customWidth="1"/>
    <col min="6" max="6" width="5.3984375" customWidth="1"/>
    <col min="7" max="7" width="5.19921875" customWidth="1"/>
    <col min="8" max="8" width="4.796875" customWidth="1"/>
    <col min="9" max="9" width="5.09765625" customWidth="1"/>
    <col min="10" max="10" width="4.796875" customWidth="1"/>
    <col min="11" max="12" width="4.59765625" customWidth="1"/>
    <col min="13" max="13" width="5.09765625" customWidth="1"/>
    <col min="14" max="14" width="5.8984375" customWidth="1"/>
    <col min="15" max="16" width="8.8984375" bestFit="1" customWidth="1"/>
    <col min="18" max="18" width="8.59765625" customWidth="1"/>
    <col min="19" max="19" width="7.09765625" customWidth="1"/>
    <col min="20" max="20" width="6.8984375" customWidth="1"/>
    <col min="21" max="22" width="6.19921875" customWidth="1"/>
    <col min="23" max="23" width="7.59765625" customWidth="1"/>
    <col min="24" max="24" width="6.69921875" customWidth="1"/>
    <col min="25" max="25" width="6.09765625" customWidth="1"/>
    <col min="26" max="26" width="8.8984375" bestFit="1" customWidth="1"/>
    <col min="27" max="27" width="10.3984375" bestFit="1" customWidth="1"/>
    <col min="28" max="28" width="8.8984375" bestFit="1" customWidth="1"/>
    <col min="29" max="29" width="9.59765625" bestFit="1" customWidth="1"/>
    <col min="30" max="30" width="13.59765625" customWidth="1"/>
    <col min="31" max="31" width="10.09765625" customWidth="1"/>
    <col min="32" max="32" width="9.59765625" bestFit="1" customWidth="1"/>
    <col min="33" max="33" width="10.796875" customWidth="1"/>
    <col min="37" max="37" width="5.5" customWidth="1"/>
    <col min="38" max="38" width="5.59765625" customWidth="1"/>
    <col min="41" max="41" width="5.09765625" customWidth="1"/>
    <col min="42" max="42" width="10.296875" customWidth="1"/>
    <col min="43" max="43" width="12" customWidth="1"/>
    <col min="44" max="44" width="11.59765625" customWidth="1"/>
    <col min="48" max="50" width="0" hidden="1" customWidth="1"/>
    <col min="51" max="51" width="10.796875" customWidth="1"/>
    <col min="53" max="53" width="10" customWidth="1"/>
    <col min="54" max="54" width="11.09765625" customWidth="1"/>
    <col min="55" max="55" width="11.796875" customWidth="1"/>
    <col min="56" max="56" width="14.09765625" customWidth="1"/>
  </cols>
  <sheetData>
    <row r="1" spans="1:57" ht="18">
      <c r="A1" s="2"/>
      <c r="B1" s="8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5"/>
      <c r="AB1" s="5"/>
      <c r="AC1" s="6"/>
      <c r="AD1" s="2"/>
      <c r="AE1" s="2"/>
      <c r="AF1" s="7"/>
      <c r="AG1" s="2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476" t="s">
        <v>352</v>
      </c>
      <c r="BC1" s="476"/>
      <c r="BD1" s="476"/>
      <c r="BE1" s="5" t="s">
        <v>86</v>
      </c>
    </row>
    <row r="2" spans="1:57">
      <c r="A2" s="2"/>
      <c r="B2" s="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6"/>
      <c r="AD2" s="2"/>
      <c r="AE2" s="2"/>
      <c r="AF2" s="7"/>
      <c r="AG2" s="2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3" t="s">
        <v>351</v>
      </c>
      <c r="BE2" s="5" t="s">
        <v>86</v>
      </c>
    </row>
    <row r="3" spans="1:57" ht="28.2">
      <c r="A3" s="8"/>
      <c r="B3" s="84" t="s">
        <v>152</v>
      </c>
      <c r="C3" s="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508" t="s">
        <v>550</v>
      </c>
      <c r="S3" s="509" t="s">
        <v>347</v>
      </c>
      <c r="T3" s="510"/>
      <c r="U3" s="510"/>
      <c r="V3" s="510"/>
      <c r="W3" s="510"/>
      <c r="X3" s="510"/>
      <c r="Y3" s="510"/>
      <c r="Z3" s="510"/>
      <c r="AA3" s="510"/>
      <c r="AB3" s="510"/>
      <c r="AC3" s="511"/>
      <c r="AD3" s="512" t="s">
        <v>447</v>
      </c>
      <c r="AE3" s="513" t="s">
        <v>221</v>
      </c>
      <c r="AF3" s="514" t="s">
        <v>348</v>
      </c>
      <c r="AG3" s="514"/>
      <c r="AH3" s="514"/>
      <c r="AI3" s="514"/>
      <c r="AJ3" s="514"/>
      <c r="AK3" s="514"/>
      <c r="AL3" s="514"/>
      <c r="AM3" s="514"/>
      <c r="AN3" s="514"/>
      <c r="AO3" s="514"/>
      <c r="AP3" s="514"/>
      <c r="AQ3" s="139" t="s">
        <v>222</v>
      </c>
      <c r="AR3" s="508" t="s">
        <v>551</v>
      </c>
      <c r="AS3" s="509" t="s">
        <v>347</v>
      </c>
      <c r="AT3" s="510"/>
      <c r="AU3" s="510"/>
      <c r="AV3" s="510"/>
      <c r="AW3" s="510"/>
      <c r="AX3" s="510"/>
      <c r="AY3" s="510"/>
      <c r="AZ3" s="510"/>
      <c r="BA3" s="510"/>
      <c r="BB3" s="510"/>
      <c r="BC3" s="511"/>
      <c r="BD3" s="8"/>
      <c r="BE3" s="5" t="s">
        <v>86</v>
      </c>
    </row>
    <row r="4" spans="1:57" ht="82.2" customHeight="1">
      <c r="A4" s="181"/>
      <c r="B4" s="182" t="s">
        <v>146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508"/>
      <c r="S4" s="172" t="str">
        <f>D31</f>
        <v>АУП и вспомогательный персонал</v>
      </c>
      <c r="T4" s="172" t="str">
        <f t="shared" ref="T4:AC4" si="0">E31</f>
        <v xml:space="preserve">Предоставление соцобсл в стац форме </v>
      </c>
      <c r="U4" s="172" t="str">
        <f t="shared" si="0"/>
        <v>Предоставление соцобсл в стац форме гражданам при отсутствии возможности обеспечения ухода (в том числе временного) за инвалидом, ребенком, детьми, а также отсутствие попечения над ними (СВЕТЛЫЙ)</v>
      </c>
      <c r="V4" s="172" t="str">
        <f t="shared" si="0"/>
        <v>Предоставление социального обслуживания в полустационарной форме (ОДП Доверие)</v>
      </c>
      <c r="W4" s="172" t="str">
        <f t="shared" si="0"/>
        <v>Предоставление соцобсл в полустац форме гражданам при отсутствии определенного места жительства (ШАНС)</v>
      </c>
      <c r="X4" s="172" t="str">
        <f t="shared" si="0"/>
        <v>Предоставление соцобсл в полустац форме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Y4" s="172" t="str">
        <f t="shared" si="0"/>
        <v>Предоставление соцобсл в форме на дому гражданам частично утратившим способность к самообслуживанию (ПЛАТНО и БЕСПЛАТНО)</v>
      </c>
      <c r="Z4" s="172" t="str">
        <f t="shared" si="0"/>
        <v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AA4" s="172" t="str">
        <f t="shared" si="0"/>
        <v>Реализация основных профессиональных образовательных программ профессионального обучения</v>
      </c>
      <c r="AB4" s="172" t="str">
        <f t="shared" si="0"/>
        <v>Работа по методическому сопровождению деятельности учреждений социального обслуживания при апробации методик и технологий в социальном обслуживании граждан</v>
      </c>
      <c r="AC4" s="172">
        <f t="shared" si="0"/>
        <v>0</v>
      </c>
      <c r="AD4" s="512"/>
      <c r="AE4" s="513"/>
      <c r="AF4" s="183" t="str">
        <f t="shared" ref="AF4:AP4" si="1">S4</f>
        <v>АУП и вспомогательный персонал</v>
      </c>
      <c r="AG4" s="183" t="str">
        <f t="shared" si="1"/>
        <v xml:space="preserve">Предоставление соцобсл в стац форме </v>
      </c>
      <c r="AH4" s="183" t="str">
        <f t="shared" si="1"/>
        <v>Предоставление соцобсл в стац форме гражданам при отсутствии возможности обеспечения ухода (в том числе временного) за инвалидом, ребенком, детьми, а также отсутствие попечения над ними (СВЕТЛЫЙ)</v>
      </c>
      <c r="AI4" s="183" t="str">
        <f t="shared" si="1"/>
        <v>Предоставление социального обслуживания в полустационарной форме (ОДП Доверие)</v>
      </c>
      <c r="AJ4" s="183" t="str">
        <f t="shared" si="1"/>
        <v>Предоставление соцобсл в полустац форме гражданам при отсутствии определенного места жительства (ШАНС)</v>
      </c>
      <c r="AK4" s="183" t="str">
        <f t="shared" si="1"/>
        <v>Предоставление соцобсл в полустац форме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AL4" s="183" t="str">
        <f t="shared" si="1"/>
        <v>Предоставление соцобсл в форме на дому гражданам частично утратившим способность к самообслуживанию (ПЛАТНО и БЕСПЛАТНО)</v>
      </c>
      <c r="AM4" s="183" t="str">
        <f t="shared" si="1"/>
        <v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AN4" s="183" t="str">
        <f t="shared" si="1"/>
        <v>Реализация основных профессиональных образовательных программ профессионального обучения</v>
      </c>
      <c r="AO4" s="183" t="str">
        <f t="shared" si="1"/>
        <v>Работа по методическому сопровождению деятельности учреждений социального обслуживания при апробации методик и технологий в социальном обслуживании граждан</v>
      </c>
      <c r="AP4" s="183">
        <f t="shared" si="1"/>
        <v>0</v>
      </c>
      <c r="AQ4" s="183" t="s">
        <v>223</v>
      </c>
      <c r="AR4" s="508"/>
      <c r="AS4" s="172" t="str">
        <f>AF4</f>
        <v>АУП и вспомогательный персонал</v>
      </c>
      <c r="AT4" s="172" t="str">
        <f t="shared" ref="AT4:BC4" si="2">AG4</f>
        <v xml:space="preserve">Предоставление соцобсл в стац форме </v>
      </c>
      <c r="AU4" s="172" t="str">
        <f t="shared" si="2"/>
        <v>Предоставление соцобсл в стац форме гражданам при отсутствии возможности обеспечения ухода (в том числе временного) за инвалидом, ребенком, детьми, а также отсутствие попечения над ними (СВЕТЛЫЙ)</v>
      </c>
      <c r="AV4" s="172" t="str">
        <f t="shared" si="2"/>
        <v>Предоставление социального обслуживания в полустационарной форме (ОДП Доверие)</v>
      </c>
      <c r="AW4" s="172" t="str">
        <f t="shared" si="2"/>
        <v>Предоставление соцобсл в полустац форме гражданам при отсутствии определенного места жительства (ШАНС)</v>
      </c>
      <c r="AX4" s="172" t="str">
        <f t="shared" si="2"/>
        <v>Предоставление соцобсл в полустац форме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AY4" s="172" t="str">
        <f t="shared" si="2"/>
        <v>Предоставление соцобсл в форме на дому гражданам частично утратившим способность к самообслуживанию (ПЛАТНО и БЕСПЛАТНО)</v>
      </c>
      <c r="AZ4" s="172" t="str">
        <f t="shared" si="2"/>
        <v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BA4" s="172" t="str">
        <f t="shared" si="2"/>
        <v>Реализация основных профессиональных образовательных программ профессионального обучения</v>
      </c>
      <c r="BB4" s="172" t="str">
        <f t="shared" si="2"/>
        <v>Работа по методическому сопровождению деятельности учреждений социального обслуживания при апробации методик и технологий в социальном обслуживании граждан</v>
      </c>
      <c r="BC4" s="172">
        <f t="shared" si="2"/>
        <v>0</v>
      </c>
      <c r="BD4" s="181"/>
      <c r="BE4" s="184" t="s">
        <v>86</v>
      </c>
    </row>
    <row r="5" spans="1:57">
      <c r="A5" s="2"/>
      <c r="B5" s="3"/>
      <c r="C5" s="4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14">
        <f>SUM(R6:R26)</f>
        <v>92</v>
      </c>
      <c r="S5" s="114">
        <f t="shared" ref="S5:AC5" si="3">SUM(S6:S26)</f>
        <v>24</v>
      </c>
      <c r="T5" s="114">
        <f t="shared" si="3"/>
        <v>67.5</v>
      </c>
      <c r="U5" s="114">
        <f t="shared" si="3"/>
        <v>0</v>
      </c>
      <c r="V5" s="114">
        <f t="shared" si="3"/>
        <v>0</v>
      </c>
      <c r="W5" s="114">
        <f t="shared" si="3"/>
        <v>0</v>
      </c>
      <c r="X5" s="114">
        <f t="shared" si="3"/>
        <v>0</v>
      </c>
      <c r="Y5" s="114">
        <f t="shared" si="3"/>
        <v>0</v>
      </c>
      <c r="Z5" s="114">
        <f t="shared" si="3"/>
        <v>0</v>
      </c>
      <c r="AA5" s="114">
        <f t="shared" si="3"/>
        <v>0</v>
      </c>
      <c r="AB5" s="114">
        <f t="shared" si="3"/>
        <v>0</v>
      </c>
      <c r="AC5" s="114">
        <f t="shared" si="3"/>
        <v>0</v>
      </c>
      <c r="AD5" s="170">
        <f>C21-AE5</f>
        <v>-42786.907980000004</v>
      </c>
      <c r="AE5" s="120">
        <f>SUM(AE6:AE26)</f>
        <v>42786.907980000004</v>
      </c>
      <c r="AF5" s="120">
        <f t="shared" ref="AF5:AO5" si="4">SUM(AF6:AF26)</f>
        <v>12602.856</v>
      </c>
      <c r="AG5" s="120">
        <f t="shared" si="4"/>
        <v>29716.05198</v>
      </c>
      <c r="AH5" s="120">
        <f t="shared" si="4"/>
        <v>0</v>
      </c>
      <c r="AI5" s="120">
        <f t="shared" si="4"/>
        <v>0</v>
      </c>
      <c r="AJ5" s="120">
        <f t="shared" si="4"/>
        <v>0</v>
      </c>
      <c r="AK5" s="120">
        <f t="shared" si="4"/>
        <v>0</v>
      </c>
      <c r="AL5" s="120">
        <f t="shared" si="4"/>
        <v>0</v>
      </c>
      <c r="AM5" s="120">
        <f t="shared" si="4"/>
        <v>0</v>
      </c>
      <c r="AN5" s="120">
        <f t="shared" si="4"/>
        <v>0</v>
      </c>
      <c r="AO5" s="120">
        <f t="shared" si="4"/>
        <v>0</v>
      </c>
      <c r="AP5" s="120">
        <f>SUM(AP6:AP26)</f>
        <v>0</v>
      </c>
      <c r="AQ5" s="8"/>
      <c r="AR5" s="114">
        <f>SUM(AR6:AR26)</f>
        <v>99.5</v>
      </c>
      <c r="AS5" s="114">
        <f t="shared" ref="AS5:BC5" si="5">SUM(AS6:AS26)</f>
        <v>26.5</v>
      </c>
      <c r="AT5" s="114">
        <f t="shared" si="5"/>
        <v>73</v>
      </c>
      <c r="AU5" s="114">
        <f t="shared" si="5"/>
        <v>0</v>
      </c>
      <c r="AV5" s="114">
        <f t="shared" si="5"/>
        <v>0</v>
      </c>
      <c r="AW5" s="114">
        <f t="shared" si="5"/>
        <v>0</v>
      </c>
      <c r="AX5" s="114">
        <f t="shared" si="5"/>
        <v>0</v>
      </c>
      <c r="AY5" s="114">
        <f t="shared" si="5"/>
        <v>0</v>
      </c>
      <c r="AZ5" s="114">
        <f t="shared" si="5"/>
        <v>0</v>
      </c>
      <c r="BA5" s="114">
        <f t="shared" si="5"/>
        <v>0</v>
      </c>
      <c r="BB5" s="114">
        <f t="shared" si="5"/>
        <v>0</v>
      </c>
      <c r="BC5" s="114">
        <f t="shared" si="5"/>
        <v>0</v>
      </c>
      <c r="BD5" s="8"/>
      <c r="BE5" s="5" t="s">
        <v>86</v>
      </c>
    </row>
    <row r="6" spans="1:57">
      <c r="A6" s="2"/>
      <c r="B6" s="3"/>
      <c r="C6" s="4"/>
      <c r="D6" s="507" t="s">
        <v>31</v>
      </c>
      <c r="E6" s="507"/>
      <c r="F6" s="507"/>
      <c r="G6" s="507"/>
      <c r="H6" s="507"/>
      <c r="I6" s="507"/>
      <c r="J6" s="507"/>
      <c r="K6" s="507"/>
      <c r="L6" s="507"/>
      <c r="M6" s="507"/>
      <c r="N6" s="507"/>
      <c r="O6" s="507"/>
      <c r="P6" s="507"/>
      <c r="Q6" s="180" t="s">
        <v>32</v>
      </c>
      <c r="R6" s="118">
        <f t="shared" ref="R6:R17" si="6">SUMIF($A$35:$A$166,$Q6,C$35:C$166)</f>
        <v>1</v>
      </c>
      <c r="S6" s="118">
        <f t="shared" ref="S6:S17" si="7">SUMIF($A$35:$A$166,$Q6,D$35:D$166)</f>
        <v>1</v>
      </c>
      <c r="T6" s="118">
        <f t="shared" ref="T6:T17" si="8">SUMIF($A$35:$A$166,$Q6,E$35:E$166)</f>
        <v>0</v>
      </c>
      <c r="U6" s="118">
        <f t="shared" ref="U6:U17" si="9">SUMIF($A$35:$A$166,$Q6,F$35:F$166)</f>
        <v>0</v>
      </c>
      <c r="V6" s="118">
        <f t="shared" ref="V6:V17" si="10">SUMIF($A$35:$A$166,$Q6,G$35:G$166)</f>
        <v>0</v>
      </c>
      <c r="W6" s="118">
        <f t="shared" ref="W6:W17" si="11">SUMIF($A$35:$A$166,$Q6,H$35:H$166)</f>
        <v>0</v>
      </c>
      <c r="X6" s="118">
        <f t="shared" ref="X6:X17" si="12">SUMIF($A$35:$A$166,$Q6,I$35:I$166)</f>
        <v>0</v>
      </c>
      <c r="Y6" s="118">
        <f t="shared" ref="Y6:Y17" si="13">SUMIF($A$35:$A$166,$Q6,J$35:J$166)</f>
        <v>0</v>
      </c>
      <c r="Z6" s="118">
        <f t="shared" ref="Z6:Z17" si="14">SUMIF($A$35:$A$166,$Q6,K$35:K$166)</f>
        <v>0</v>
      </c>
      <c r="AA6" s="118">
        <f t="shared" ref="AA6:AA17" si="15">SUMIF($A$35:$A$166,$Q6,L$35:L$166)</f>
        <v>0</v>
      </c>
      <c r="AB6" s="118">
        <f t="shared" ref="AB6:AB17" si="16">SUMIF($A$35:$A$166,$Q6,M$35:M$166)</f>
        <v>0</v>
      </c>
      <c r="AC6" s="118">
        <f t="shared" ref="AC6:AC17" si="17">SUMIF($A$35:$A$166,$Q6,N$35:N$166)</f>
        <v>0</v>
      </c>
      <c r="AD6" s="119">
        <v>105000</v>
      </c>
      <c r="AE6" s="116">
        <f t="shared" ref="AE6:AP21" si="18">$AD6*R6*12/1000</f>
        <v>1260</v>
      </c>
      <c r="AF6" s="116">
        <f t="shared" si="18"/>
        <v>1260</v>
      </c>
      <c r="AG6" s="116">
        <f t="shared" si="18"/>
        <v>0</v>
      </c>
      <c r="AH6" s="116">
        <f t="shared" si="18"/>
        <v>0</v>
      </c>
      <c r="AI6" s="116">
        <f t="shared" si="18"/>
        <v>0</v>
      </c>
      <c r="AJ6" s="116">
        <f t="shared" si="18"/>
        <v>0</v>
      </c>
      <c r="AK6" s="116">
        <f t="shared" si="18"/>
        <v>0</v>
      </c>
      <c r="AL6" s="116">
        <f t="shared" si="18"/>
        <v>0</v>
      </c>
      <c r="AM6" s="116">
        <f t="shared" si="18"/>
        <v>0</v>
      </c>
      <c r="AN6" s="116">
        <f t="shared" si="18"/>
        <v>0</v>
      </c>
      <c r="AO6" s="116">
        <f t="shared" si="18"/>
        <v>0</v>
      </c>
      <c r="AP6" s="116">
        <f t="shared" si="18"/>
        <v>0</v>
      </c>
      <c r="AQ6" s="117">
        <f t="shared" ref="AQ6:AQ26" si="19">IFERROR(AE6*1000/12/(1+BC$31)/R6,0)</f>
        <v>70000</v>
      </c>
      <c r="AR6" s="118">
        <f t="shared" ref="AR6:AR17" si="20">SUMIF($A$35:$A$166,$Q6,O$35:O$166)</f>
        <v>1</v>
      </c>
      <c r="AS6" s="118">
        <f t="shared" ref="AS6:AS17" si="21">SUMIF($A$35:$A$166,$Q6,P$35:P$166)</f>
        <v>1</v>
      </c>
      <c r="AT6" s="118">
        <f t="shared" ref="AT6:AT17" si="22">SUMIF($A$35:$A$166,$Q6,Q$35:Q$166)</f>
        <v>0</v>
      </c>
      <c r="AU6" s="118">
        <f t="shared" ref="AU6:AU17" si="23">SUMIF($A$35:$A$166,$Q6,R$35:R$166)</f>
        <v>0</v>
      </c>
      <c r="AV6" s="118">
        <f t="shared" ref="AV6:AV17" si="24">SUMIF($A$35:$A$166,$Q6,S$35:S$166)</f>
        <v>0</v>
      </c>
      <c r="AW6" s="118">
        <f t="shared" ref="AW6:AW17" si="25">SUMIF($A$35:$A$166,$Q6,T$35:T$166)</f>
        <v>0</v>
      </c>
      <c r="AX6" s="118">
        <f t="shared" ref="AX6:AX17" si="26">SUMIF($A$35:$A$166,$Q6,U$35:U$166)</f>
        <v>0</v>
      </c>
      <c r="AY6" s="118">
        <f t="shared" ref="AY6:AY17" si="27">SUMIF($A$35:$A$166,$Q6,V$35:V$166)</f>
        <v>0</v>
      </c>
      <c r="AZ6" s="118">
        <f t="shared" ref="AZ6:AZ17" si="28">SUMIF($A$35:$A$166,$Q6,W$35:W$166)</f>
        <v>0</v>
      </c>
      <c r="BA6" s="118">
        <f t="shared" ref="BA6:BA17" si="29">SUMIF($A$35:$A$166,$Q6,X$35:X$166)</f>
        <v>0</v>
      </c>
      <c r="BB6" s="118">
        <f t="shared" ref="BB6:BB17" si="30">SUMIF($A$35:$A$166,$Q6,Y$35:Y$166)</f>
        <v>0</v>
      </c>
      <c r="BC6" s="118">
        <f t="shared" ref="BC6:BC17" si="31">SUMIF($A$35:$A$166,$Q6,Z$35:Z$166)</f>
        <v>0</v>
      </c>
      <c r="BD6" s="8"/>
      <c r="BE6" s="5" t="s">
        <v>86</v>
      </c>
    </row>
    <row r="7" spans="1:57">
      <c r="A7" s="2"/>
      <c r="B7" s="3"/>
      <c r="C7" s="4"/>
      <c r="D7" s="507" t="s">
        <v>362</v>
      </c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180" t="s">
        <v>34</v>
      </c>
      <c r="R7" s="118">
        <f t="shared" si="6"/>
        <v>1</v>
      </c>
      <c r="S7" s="118">
        <f t="shared" si="7"/>
        <v>1</v>
      </c>
      <c r="T7" s="118">
        <f t="shared" si="8"/>
        <v>0</v>
      </c>
      <c r="U7" s="118">
        <f t="shared" si="9"/>
        <v>0</v>
      </c>
      <c r="V7" s="118">
        <f t="shared" si="10"/>
        <v>0</v>
      </c>
      <c r="W7" s="118">
        <f t="shared" si="11"/>
        <v>0</v>
      </c>
      <c r="X7" s="118">
        <f t="shared" si="12"/>
        <v>0</v>
      </c>
      <c r="Y7" s="118">
        <f t="shared" si="13"/>
        <v>0</v>
      </c>
      <c r="Z7" s="118">
        <f t="shared" si="14"/>
        <v>0</v>
      </c>
      <c r="AA7" s="118">
        <f t="shared" si="15"/>
        <v>0</v>
      </c>
      <c r="AB7" s="118">
        <f t="shared" si="16"/>
        <v>0</v>
      </c>
      <c r="AC7" s="118">
        <f t="shared" si="17"/>
        <v>0</v>
      </c>
      <c r="AD7" s="119">
        <v>94500</v>
      </c>
      <c r="AE7" s="116">
        <f t="shared" si="18"/>
        <v>1134</v>
      </c>
      <c r="AF7" s="116">
        <f t="shared" si="18"/>
        <v>1134</v>
      </c>
      <c r="AG7" s="116">
        <f t="shared" si="18"/>
        <v>0</v>
      </c>
      <c r="AH7" s="116">
        <f t="shared" si="18"/>
        <v>0</v>
      </c>
      <c r="AI7" s="116">
        <f t="shared" si="18"/>
        <v>0</v>
      </c>
      <c r="AJ7" s="116">
        <f t="shared" si="18"/>
        <v>0</v>
      </c>
      <c r="AK7" s="116">
        <f t="shared" si="18"/>
        <v>0</v>
      </c>
      <c r="AL7" s="116">
        <f t="shared" si="18"/>
        <v>0</v>
      </c>
      <c r="AM7" s="116">
        <f t="shared" si="18"/>
        <v>0</v>
      </c>
      <c r="AN7" s="116">
        <f t="shared" si="18"/>
        <v>0</v>
      </c>
      <c r="AO7" s="116">
        <f t="shared" si="18"/>
        <v>0</v>
      </c>
      <c r="AP7" s="116">
        <f t="shared" si="18"/>
        <v>0</v>
      </c>
      <c r="AQ7" s="117">
        <f t="shared" si="19"/>
        <v>63000</v>
      </c>
      <c r="AR7" s="118">
        <f t="shared" si="20"/>
        <v>1</v>
      </c>
      <c r="AS7" s="118">
        <f t="shared" si="21"/>
        <v>1</v>
      </c>
      <c r="AT7" s="118">
        <f t="shared" si="22"/>
        <v>0</v>
      </c>
      <c r="AU7" s="118">
        <f t="shared" si="23"/>
        <v>0</v>
      </c>
      <c r="AV7" s="118">
        <f t="shared" si="24"/>
        <v>0</v>
      </c>
      <c r="AW7" s="118">
        <f t="shared" si="25"/>
        <v>0</v>
      </c>
      <c r="AX7" s="118">
        <f t="shared" si="26"/>
        <v>0</v>
      </c>
      <c r="AY7" s="118">
        <f t="shared" si="27"/>
        <v>0</v>
      </c>
      <c r="AZ7" s="118">
        <f t="shared" si="28"/>
        <v>0</v>
      </c>
      <c r="BA7" s="118">
        <f t="shared" si="29"/>
        <v>0</v>
      </c>
      <c r="BB7" s="118">
        <f t="shared" si="30"/>
        <v>0</v>
      </c>
      <c r="BC7" s="118">
        <f t="shared" si="31"/>
        <v>0</v>
      </c>
      <c r="BD7" s="8"/>
      <c r="BE7" s="5" t="s">
        <v>86</v>
      </c>
    </row>
    <row r="8" spans="1:57">
      <c r="A8" s="2"/>
      <c r="B8" s="3"/>
      <c r="C8" s="4" t="s">
        <v>180</v>
      </c>
      <c r="D8" s="507" t="s">
        <v>36</v>
      </c>
      <c r="E8" s="507"/>
      <c r="F8" s="507"/>
      <c r="G8" s="507"/>
      <c r="H8" s="507"/>
      <c r="I8" s="507"/>
      <c r="J8" s="507"/>
      <c r="K8" s="507"/>
      <c r="L8" s="507"/>
      <c r="M8" s="507"/>
      <c r="N8" s="507"/>
      <c r="O8" s="507"/>
      <c r="P8" s="507"/>
      <c r="Q8" s="115" t="s">
        <v>37</v>
      </c>
      <c r="R8" s="118">
        <f t="shared" si="6"/>
        <v>0</v>
      </c>
      <c r="S8" s="118">
        <f t="shared" si="7"/>
        <v>0</v>
      </c>
      <c r="T8" s="118">
        <f t="shared" si="8"/>
        <v>0</v>
      </c>
      <c r="U8" s="118">
        <f t="shared" si="9"/>
        <v>0</v>
      </c>
      <c r="V8" s="118">
        <f t="shared" si="10"/>
        <v>0</v>
      </c>
      <c r="W8" s="118">
        <f t="shared" si="11"/>
        <v>0</v>
      </c>
      <c r="X8" s="118">
        <f t="shared" si="12"/>
        <v>0</v>
      </c>
      <c r="Y8" s="118">
        <f t="shared" si="13"/>
        <v>0</v>
      </c>
      <c r="Z8" s="118">
        <f t="shared" si="14"/>
        <v>0</v>
      </c>
      <c r="AA8" s="118">
        <f t="shared" si="15"/>
        <v>0</v>
      </c>
      <c r="AB8" s="118">
        <f t="shared" si="16"/>
        <v>0</v>
      </c>
      <c r="AC8" s="118">
        <f t="shared" si="17"/>
        <v>0</v>
      </c>
      <c r="AD8" s="119"/>
      <c r="AE8" s="116">
        <f t="shared" si="18"/>
        <v>0</v>
      </c>
      <c r="AF8" s="116">
        <f t="shared" si="18"/>
        <v>0</v>
      </c>
      <c r="AG8" s="116">
        <f t="shared" si="18"/>
        <v>0</v>
      </c>
      <c r="AH8" s="116">
        <f t="shared" si="18"/>
        <v>0</v>
      </c>
      <c r="AI8" s="116">
        <f t="shared" si="18"/>
        <v>0</v>
      </c>
      <c r="AJ8" s="116">
        <f t="shared" si="18"/>
        <v>0</v>
      </c>
      <c r="AK8" s="116">
        <f t="shared" si="18"/>
        <v>0</v>
      </c>
      <c r="AL8" s="116">
        <f t="shared" si="18"/>
        <v>0</v>
      </c>
      <c r="AM8" s="116">
        <f t="shared" si="18"/>
        <v>0</v>
      </c>
      <c r="AN8" s="116">
        <f t="shared" si="18"/>
        <v>0</v>
      </c>
      <c r="AO8" s="116">
        <f t="shared" si="18"/>
        <v>0</v>
      </c>
      <c r="AP8" s="116">
        <f t="shared" si="18"/>
        <v>0</v>
      </c>
      <c r="AQ8" s="117">
        <f t="shared" si="19"/>
        <v>0</v>
      </c>
      <c r="AR8" s="118">
        <f t="shared" si="20"/>
        <v>0</v>
      </c>
      <c r="AS8" s="118">
        <f t="shared" si="21"/>
        <v>0</v>
      </c>
      <c r="AT8" s="118">
        <f t="shared" si="22"/>
        <v>0</v>
      </c>
      <c r="AU8" s="118">
        <f t="shared" si="23"/>
        <v>0</v>
      </c>
      <c r="AV8" s="118">
        <f t="shared" si="24"/>
        <v>0</v>
      </c>
      <c r="AW8" s="118">
        <f t="shared" si="25"/>
        <v>0</v>
      </c>
      <c r="AX8" s="118">
        <f t="shared" si="26"/>
        <v>0</v>
      </c>
      <c r="AY8" s="118">
        <f t="shared" si="27"/>
        <v>0</v>
      </c>
      <c r="AZ8" s="118">
        <f t="shared" si="28"/>
        <v>0</v>
      </c>
      <c r="BA8" s="118">
        <f t="shared" si="29"/>
        <v>0</v>
      </c>
      <c r="BB8" s="118">
        <f t="shared" si="30"/>
        <v>0</v>
      </c>
      <c r="BC8" s="118">
        <f t="shared" si="31"/>
        <v>0</v>
      </c>
      <c r="BD8" s="8"/>
      <c r="BE8" s="5" t="s">
        <v>86</v>
      </c>
    </row>
    <row r="9" spans="1:57">
      <c r="A9" s="2"/>
      <c r="B9" s="3" t="s">
        <v>40</v>
      </c>
      <c r="C9" s="6"/>
      <c r="D9" s="507" t="s">
        <v>38</v>
      </c>
      <c r="E9" s="507"/>
      <c r="F9" s="507"/>
      <c r="G9" s="507"/>
      <c r="H9" s="507"/>
      <c r="I9" s="507"/>
      <c r="J9" s="507"/>
      <c r="K9" s="507"/>
      <c r="L9" s="507"/>
      <c r="M9" s="507"/>
      <c r="N9" s="507"/>
      <c r="O9" s="507"/>
      <c r="P9" s="507"/>
      <c r="Q9" s="180" t="s">
        <v>39</v>
      </c>
      <c r="R9" s="118">
        <f t="shared" si="6"/>
        <v>0</v>
      </c>
      <c r="S9" s="118">
        <f t="shared" si="7"/>
        <v>0</v>
      </c>
      <c r="T9" s="118">
        <f t="shared" si="8"/>
        <v>0</v>
      </c>
      <c r="U9" s="118">
        <f t="shared" si="9"/>
        <v>0</v>
      </c>
      <c r="V9" s="118">
        <f t="shared" si="10"/>
        <v>0</v>
      </c>
      <c r="W9" s="118">
        <f t="shared" si="11"/>
        <v>0</v>
      </c>
      <c r="X9" s="118">
        <f t="shared" si="12"/>
        <v>0</v>
      </c>
      <c r="Y9" s="118">
        <f t="shared" si="13"/>
        <v>0</v>
      </c>
      <c r="Z9" s="118">
        <f t="shared" si="14"/>
        <v>0</v>
      </c>
      <c r="AA9" s="118">
        <f t="shared" si="15"/>
        <v>0</v>
      </c>
      <c r="AB9" s="118">
        <f t="shared" si="16"/>
        <v>0</v>
      </c>
      <c r="AC9" s="118">
        <f t="shared" si="17"/>
        <v>0</v>
      </c>
      <c r="AD9" s="119"/>
      <c r="AE9" s="116">
        <f t="shared" si="18"/>
        <v>0</v>
      </c>
      <c r="AF9" s="116">
        <f t="shared" si="18"/>
        <v>0</v>
      </c>
      <c r="AG9" s="116">
        <f t="shared" si="18"/>
        <v>0</v>
      </c>
      <c r="AH9" s="116">
        <f t="shared" si="18"/>
        <v>0</v>
      </c>
      <c r="AI9" s="116">
        <f t="shared" si="18"/>
        <v>0</v>
      </c>
      <c r="AJ9" s="116">
        <f t="shared" si="18"/>
        <v>0</v>
      </c>
      <c r="AK9" s="116">
        <f t="shared" si="18"/>
        <v>0</v>
      </c>
      <c r="AL9" s="116">
        <f t="shared" si="18"/>
        <v>0</v>
      </c>
      <c r="AM9" s="116">
        <f t="shared" si="18"/>
        <v>0</v>
      </c>
      <c r="AN9" s="116">
        <f t="shared" si="18"/>
        <v>0</v>
      </c>
      <c r="AO9" s="116">
        <f t="shared" si="18"/>
        <v>0</v>
      </c>
      <c r="AP9" s="116">
        <f t="shared" si="18"/>
        <v>0</v>
      </c>
      <c r="AQ9" s="117">
        <f t="shared" si="19"/>
        <v>0</v>
      </c>
      <c r="AR9" s="118">
        <f t="shared" si="20"/>
        <v>0</v>
      </c>
      <c r="AS9" s="118">
        <f t="shared" si="21"/>
        <v>0</v>
      </c>
      <c r="AT9" s="118">
        <f t="shared" si="22"/>
        <v>0</v>
      </c>
      <c r="AU9" s="118">
        <f t="shared" si="23"/>
        <v>0</v>
      </c>
      <c r="AV9" s="118">
        <f t="shared" si="24"/>
        <v>0</v>
      </c>
      <c r="AW9" s="118">
        <f t="shared" si="25"/>
        <v>0</v>
      </c>
      <c r="AX9" s="118">
        <f t="shared" si="26"/>
        <v>0</v>
      </c>
      <c r="AY9" s="118">
        <f t="shared" si="27"/>
        <v>0</v>
      </c>
      <c r="AZ9" s="118">
        <f t="shared" si="28"/>
        <v>0</v>
      </c>
      <c r="BA9" s="118">
        <f t="shared" si="29"/>
        <v>0</v>
      </c>
      <c r="BB9" s="118">
        <f t="shared" si="30"/>
        <v>0</v>
      </c>
      <c r="BC9" s="118">
        <f t="shared" si="31"/>
        <v>0</v>
      </c>
      <c r="BD9" s="8"/>
      <c r="BE9" s="5" t="s">
        <v>86</v>
      </c>
    </row>
    <row r="10" spans="1:57">
      <c r="A10" s="2"/>
      <c r="B10" s="3" t="s">
        <v>44</v>
      </c>
      <c r="C10" s="6"/>
      <c r="D10" s="507" t="s">
        <v>42</v>
      </c>
      <c r="E10" s="507"/>
      <c r="F10" s="507"/>
      <c r="G10" s="507"/>
      <c r="H10" s="507"/>
      <c r="I10" s="507"/>
      <c r="J10" s="507"/>
      <c r="K10" s="507"/>
      <c r="L10" s="507"/>
      <c r="M10" s="507"/>
      <c r="N10" s="507"/>
      <c r="O10" s="507"/>
      <c r="P10" s="507"/>
      <c r="Q10" s="180" t="s">
        <v>43</v>
      </c>
      <c r="R10" s="118">
        <f>SUMIF($A$35:$A$166,$Q10,C$35:C$166)</f>
        <v>2</v>
      </c>
      <c r="S10" s="118">
        <f t="shared" si="7"/>
        <v>0</v>
      </c>
      <c r="T10" s="118">
        <f t="shared" si="8"/>
        <v>1.5</v>
      </c>
      <c r="U10" s="118">
        <f t="shared" si="9"/>
        <v>0</v>
      </c>
      <c r="V10" s="118">
        <f t="shared" si="10"/>
        <v>0</v>
      </c>
      <c r="W10" s="118">
        <f t="shared" si="11"/>
        <v>0</v>
      </c>
      <c r="X10" s="118">
        <f t="shared" si="12"/>
        <v>0</v>
      </c>
      <c r="Y10" s="118">
        <f t="shared" si="13"/>
        <v>0</v>
      </c>
      <c r="Z10" s="118">
        <f t="shared" si="14"/>
        <v>0</v>
      </c>
      <c r="AA10" s="118">
        <f t="shared" si="15"/>
        <v>0</v>
      </c>
      <c r="AB10" s="118">
        <f t="shared" si="16"/>
        <v>0</v>
      </c>
      <c r="AC10" s="118">
        <f t="shared" si="17"/>
        <v>0</v>
      </c>
      <c r="AD10" s="441">
        <v>78000</v>
      </c>
      <c r="AE10" s="116">
        <f t="shared" si="18"/>
        <v>1872</v>
      </c>
      <c r="AF10" s="116">
        <f t="shared" si="18"/>
        <v>0</v>
      </c>
      <c r="AG10" s="116">
        <f t="shared" si="18"/>
        <v>1404</v>
      </c>
      <c r="AH10" s="116">
        <f t="shared" si="18"/>
        <v>0</v>
      </c>
      <c r="AI10" s="116">
        <f t="shared" si="18"/>
        <v>0</v>
      </c>
      <c r="AJ10" s="116">
        <f t="shared" si="18"/>
        <v>0</v>
      </c>
      <c r="AK10" s="116">
        <f t="shared" si="18"/>
        <v>0</v>
      </c>
      <c r="AL10" s="116">
        <f t="shared" si="18"/>
        <v>0</v>
      </c>
      <c r="AM10" s="116">
        <f t="shared" si="18"/>
        <v>0</v>
      </c>
      <c r="AN10" s="116">
        <f t="shared" si="18"/>
        <v>0</v>
      </c>
      <c r="AO10" s="116">
        <f t="shared" si="18"/>
        <v>0</v>
      </c>
      <c r="AP10" s="116">
        <f t="shared" si="18"/>
        <v>0</v>
      </c>
      <c r="AQ10" s="117">
        <f t="shared" si="19"/>
        <v>52000</v>
      </c>
      <c r="AR10" s="118">
        <f t="shared" si="20"/>
        <v>1.5</v>
      </c>
      <c r="AS10" s="118">
        <f t="shared" si="21"/>
        <v>0</v>
      </c>
      <c r="AT10" s="118">
        <f t="shared" si="22"/>
        <v>1.5</v>
      </c>
      <c r="AU10" s="118">
        <f t="shared" si="23"/>
        <v>0</v>
      </c>
      <c r="AV10" s="118">
        <f t="shared" si="24"/>
        <v>0</v>
      </c>
      <c r="AW10" s="118">
        <f t="shared" si="25"/>
        <v>0</v>
      </c>
      <c r="AX10" s="118">
        <f t="shared" si="26"/>
        <v>0</v>
      </c>
      <c r="AY10" s="118">
        <f t="shared" si="27"/>
        <v>0</v>
      </c>
      <c r="AZ10" s="118">
        <f t="shared" si="28"/>
        <v>0</v>
      </c>
      <c r="BA10" s="118">
        <f t="shared" si="29"/>
        <v>0</v>
      </c>
      <c r="BB10" s="118">
        <f t="shared" si="30"/>
        <v>0</v>
      </c>
      <c r="BC10" s="118">
        <f t="shared" si="31"/>
        <v>0</v>
      </c>
      <c r="BD10" s="8"/>
      <c r="BE10" s="5" t="s">
        <v>86</v>
      </c>
    </row>
    <row r="11" spans="1:57">
      <c r="A11" s="2"/>
      <c r="B11" s="3" t="s">
        <v>46</v>
      </c>
      <c r="C11" s="6">
        <v>365</v>
      </c>
      <c r="D11" s="507" t="s">
        <v>363</v>
      </c>
      <c r="E11" s="507"/>
      <c r="F11" s="507"/>
      <c r="G11" s="507"/>
      <c r="H11" s="507"/>
      <c r="I11" s="507"/>
      <c r="J11" s="507"/>
      <c r="K11" s="507"/>
      <c r="L11" s="507"/>
      <c r="M11" s="507"/>
      <c r="N11" s="507"/>
      <c r="O11" s="507"/>
      <c r="P11" s="507"/>
      <c r="Q11" s="115" t="s">
        <v>45</v>
      </c>
      <c r="R11" s="118">
        <f t="shared" si="6"/>
        <v>0</v>
      </c>
      <c r="S11" s="118">
        <f t="shared" si="7"/>
        <v>0</v>
      </c>
      <c r="T11" s="118">
        <f t="shared" si="8"/>
        <v>0</v>
      </c>
      <c r="U11" s="118">
        <f t="shared" si="9"/>
        <v>0</v>
      </c>
      <c r="V11" s="118">
        <f t="shared" si="10"/>
        <v>0</v>
      </c>
      <c r="W11" s="118">
        <f t="shared" si="11"/>
        <v>0</v>
      </c>
      <c r="X11" s="118">
        <f t="shared" si="12"/>
        <v>0</v>
      </c>
      <c r="Y11" s="118">
        <f t="shared" si="13"/>
        <v>0</v>
      </c>
      <c r="Z11" s="118">
        <f t="shared" si="14"/>
        <v>0</v>
      </c>
      <c r="AA11" s="118">
        <f t="shared" si="15"/>
        <v>0</v>
      </c>
      <c r="AB11" s="118">
        <f t="shared" si="16"/>
        <v>0</v>
      </c>
      <c r="AC11" s="118">
        <f t="shared" si="17"/>
        <v>0</v>
      </c>
      <c r="AD11" s="119"/>
      <c r="AE11" s="116">
        <f t="shared" si="18"/>
        <v>0</v>
      </c>
      <c r="AF11" s="116">
        <f t="shared" si="18"/>
        <v>0</v>
      </c>
      <c r="AG11" s="116">
        <f t="shared" si="18"/>
        <v>0</v>
      </c>
      <c r="AH11" s="116">
        <f t="shared" si="18"/>
        <v>0</v>
      </c>
      <c r="AI11" s="116">
        <f t="shared" si="18"/>
        <v>0</v>
      </c>
      <c r="AJ11" s="116">
        <f t="shared" si="18"/>
        <v>0</v>
      </c>
      <c r="AK11" s="116">
        <f t="shared" si="18"/>
        <v>0</v>
      </c>
      <c r="AL11" s="116">
        <f t="shared" si="18"/>
        <v>0</v>
      </c>
      <c r="AM11" s="116">
        <f t="shared" si="18"/>
        <v>0</v>
      </c>
      <c r="AN11" s="116">
        <f t="shared" si="18"/>
        <v>0</v>
      </c>
      <c r="AO11" s="116">
        <f t="shared" si="18"/>
        <v>0</v>
      </c>
      <c r="AP11" s="116">
        <f t="shared" si="18"/>
        <v>0</v>
      </c>
      <c r="AQ11" s="117">
        <f t="shared" si="19"/>
        <v>0</v>
      </c>
      <c r="AR11" s="118">
        <f t="shared" si="20"/>
        <v>0</v>
      </c>
      <c r="AS11" s="118">
        <f t="shared" si="21"/>
        <v>0</v>
      </c>
      <c r="AT11" s="118">
        <f t="shared" si="22"/>
        <v>0</v>
      </c>
      <c r="AU11" s="118">
        <f t="shared" si="23"/>
        <v>0</v>
      </c>
      <c r="AV11" s="118">
        <f t="shared" si="24"/>
        <v>0</v>
      </c>
      <c r="AW11" s="118">
        <f t="shared" si="25"/>
        <v>0</v>
      </c>
      <c r="AX11" s="118">
        <f t="shared" si="26"/>
        <v>0</v>
      </c>
      <c r="AY11" s="118">
        <f t="shared" si="27"/>
        <v>0</v>
      </c>
      <c r="AZ11" s="118">
        <f t="shared" si="28"/>
        <v>0</v>
      </c>
      <c r="BA11" s="118">
        <f t="shared" si="29"/>
        <v>0</v>
      </c>
      <c r="BB11" s="118">
        <f t="shared" si="30"/>
        <v>0</v>
      </c>
      <c r="BC11" s="118">
        <f t="shared" si="31"/>
        <v>0</v>
      </c>
      <c r="BD11" s="8"/>
      <c r="BE11" s="5" t="s">
        <v>86</v>
      </c>
    </row>
    <row r="12" spans="1:57">
      <c r="A12" s="2"/>
      <c r="B12" s="3" t="s">
        <v>48</v>
      </c>
      <c r="C12" s="6">
        <v>24</v>
      </c>
      <c r="D12" s="507" t="s">
        <v>364</v>
      </c>
      <c r="E12" s="507"/>
      <c r="F12" s="507"/>
      <c r="G12" s="507"/>
      <c r="H12" s="507"/>
      <c r="I12" s="507"/>
      <c r="J12" s="507"/>
      <c r="K12" s="507"/>
      <c r="L12" s="507"/>
      <c r="M12" s="507"/>
      <c r="N12" s="507"/>
      <c r="O12" s="507"/>
      <c r="P12" s="507"/>
      <c r="Q12" s="115" t="s">
        <v>365</v>
      </c>
      <c r="R12" s="118">
        <f t="shared" si="6"/>
        <v>0</v>
      </c>
      <c r="S12" s="118">
        <f t="shared" si="7"/>
        <v>0</v>
      </c>
      <c r="T12" s="118">
        <f t="shared" si="8"/>
        <v>0</v>
      </c>
      <c r="U12" s="118">
        <f t="shared" si="9"/>
        <v>0</v>
      </c>
      <c r="V12" s="118">
        <f t="shared" si="10"/>
        <v>0</v>
      </c>
      <c r="W12" s="118">
        <f t="shared" si="11"/>
        <v>0</v>
      </c>
      <c r="X12" s="118">
        <f t="shared" si="12"/>
        <v>0</v>
      </c>
      <c r="Y12" s="118">
        <f t="shared" si="13"/>
        <v>0</v>
      </c>
      <c r="Z12" s="118">
        <f t="shared" si="14"/>
        <v>0</v>
      </c>
      <c r="AA12" s="118">
        <f t="shared" si="15"/>
        <v>0</v>
      </c>
      <c r="AB12" s="118">
        <f t="shared" si="16"/>
        <v>0</v>
      </c>
      <c r="AC12" s="118">
        <f t="shared" si="17"/>
        <v>0</v>
      </c>
      <c r="AD12" s="119"/>
      <c r="AE12" s="116">
        <f t="shared" si="18"/>
        <v>0</v>
      </c>
      <c r="AF12" s="116">
        <f t="shared" si="18"/>
        <v>0</v>
      </c>
      <c r="AG12" s="116">
        <f t="shared" si="18"/>
        <v>0</v>
      </c>
      <c r="AH12" s="116">
        <f t="shared" si="18"/>
        <v>0</v>
      </c>
      <c r="AI12" s="116">
        <f t="shared" si="18"/>
        <v>0</v>
      </c>
      <c r="AJ12" s="116">
        <f t="shared" si="18"/>
        <v>0</v>
      </c>
      <c r="AK12" s="116">
        <f t="shared" si="18"/>
        <v>0</v>
      </c>
      <c r="AL12" s="116">
        <f t="shared" si="18"/>
        <v>0</v>
      </c>
      <c r="AM12" s="116">
        <f t="shared" si="18"/>
        <v>0</v>
      </c>
      <c r="AN12" s="116">
        <f t="shared" si="18"/>
        <v>0</v>
      </c>
      <c r="AO12" s="116">
        <f t="shared" si="18"/>
        <v>0</v>
      </c>
      <c r="AP12" s="116">
        <f t="shared" si="18"/>
        <v>0</v>
      </c>
      <c r="AQ12" s="117">
        <f t="shared" si="19"/>
        <v>0</v>
      </c>
      <c r="AR12" s="118">
        <f t="shared" si="20"/>
        <v>0</v>
      </c>
      <c r="AS12" s="118">
        <f t="shared" si="21"/>
        <v>0</v>
      </c>
      <c r="AT12" s="118">
        <f t="shared" si="22"/>
        <v>0</v>
      </c>
      <c r="AU12" s="118">
        <f t="shared" si="23"/>
        <v>0</v>
      </c>
      <c r="AV12" s="118">
        <f t="shared" si="24"/>
        <v>0</v>
      </c>
      <c r="AW12" s="118">
        <f t="shared" si="25"/>
        <v>0</v>
      </c>
      <c r="AX12" s="118">
        <f t="shared" si="26"/>
        <v>0</v>
      </c>
      <c r="AY12" s="118">
        <f t="shared" si="27"/>
        <v>0</v>
      </c>
      <c r="AZ12" s="118">
        <f t="shared" si="28"/>
        <v>0</v>
      </c>
      <c r="BA12" s="118">
        <f t="shared" si="29"/>
        <v>0</v>
      </c>
      <c r="BB12" s="118">
        <f t="shared" si="30"/>
        <v>0</v>
      </c>
      <c r="BC12" s="118">
        <f t="shared" si="31"/>
        <v>0</v>
      </c>
      <c r="BD12" s="8"/>
      <c r="BE12" s="5" t="s">
        <v>86</v>
      </c>
    </row>
    <row r="13" spans="1:57">
      <c r="A13" s="2"/>
      <c r="B13" s="3" t="s">
        <v>51</v>
      </c>
      <c r="C13" s="6">
        <v>8</v>
      </c>
      <c r="D13" s="507" t="s">
        <v>216</v>
      </c>
      <c r="E13" s="507"/>
      <c r="F13" s="507"/>
      <c r="G13" s="507"/>
      <c r="H13" s="507"/>
      <c r="I13" s="507"/>
      <c r="J13" s="507"/>
      <c r="K13" s="507"/>
      <c r="L13" s="507"/>
      <c r="M13" s="507"/>
      <c r="N13" s="507"/>
      <c r="O13" s="507"/>
      <c r="P13" s="507"/>
      <c r="Q13" s="180" t="s">
        <v>47</v>
      </c>
      <c r="R13" s="118">
        <f t="shared" si="6"/>
        <v>9.5</v>
      </c>
      <c r="S13" s="118">
        <f t="shared" si="7"/>
        <v>0</v>
      </c>
      <c r="T13" s="118">
        <f t="shared" si="8"/>
        <v>9.5</v>
      </c>
      <c r="U13" s="118">
        <f t="shared" si="9"/>
        <v>0</v>
      </c>
      <c r="V13" s="118">
        <f t="shared" si="10"/>
        <v>0</v>
      </c>
      <c r="W13" s="118">
        <f t="shared" si="11"/>
        <v>0</v>
      </c>
      <c r="X13" s="118">
        <f t="shared" si="12"/>
        <v>0</v>
      </c>
      <c r="Y13" s="118">
        <f t="shared" si="13"/>
        <v>0</v>
      </c>
      <c r="Z13" s="118">
        <f t="shared" si="14"/>
        <v>0</v>
      </c>
      <c r="AA13" s="118">
        <f t="shared" si="15"/>
        <v>0</v>
      </c>
      <c r="AB13" s="118">
        <f t="shared" si="16"/>
        <v>0</v>
      </c>
      <c r="AC13" s="118">
        <f t="shared" si="17"/>
        <v>0</v>
      </c>
      <c r="AD13" s="441">
        <v>45991.07</v>
      </c>
      <c r="AE13" s="116">
        <f t="shared" si="18"/>
        <v>5242.9819799999996</v>
      </c>
      <c r="AF13" s="116">
        <f t="shared" si="18"/>
        <v>0</v>
      </c>
      <c r="AG13" s="116">
        <f t="shared" si="18"/>
        <v>5242.9819799999996</v>
      </c>
      <c r="AH13" s="116">
        <f t="shared" si="18"/>
        <v>0</v>
      </c>
      <c r="AI13" s="116">
        <f t="shared" si="18"/>
        <v>0</v>
      </c>
      <c r="AJ13" s="116">
        <f t="shared" si="18"/>
        <v>0</v>
      </c>
      <c r="AK13" s="116">
        <f t="shared" si="18"/>
        <v>0</v>
      </c>
      <c r="AL13" s="116">
        <f t="shared" si="18"/>
        <v>0</v>
      </c>
      <c r="AM13" s="116">
        <f t="shared" si="18"/>
        <v>0</v>
      </c>
      <c r="AN13" s="116">
        <f t="shared" si="18"/>
        <v>0</v>
      </c>
      <c r="AO13" s="116">
        <f t="shared" si="18"/>
        <v>0</v>
      </c>
      <c r="AP13" s="116">
        <f t="shared" si="18"/>
        <v>0</v>
      </c>
      <c r="AQ13" s="117">
        <f t="shared" si="19"/>
        <v>30660.713333333333</v>
      </c>
      <c r="AR13" s="118">
        <f t="shared" si="20"/>
        <v>10</v>
      </c>
      <c r="AS13" s="118">
        <f t="shared" si="21"/>
        <v>0</v>
      </c>
      <c r="AT13" s="118">
        <f t="shared" si="22"/>
        <v>10</v>
      </c>
      <c r="AU13" s="118">
        <f t="shared" si="23"/>
        <v>0</v>
      </c>
      <c r="AV13" s="118">
        <f t="shared" si="24"/>
        <v>0</v>
      </c>
      <c r="AW13" s="118">
        <f t="shared" si="25"/>
        <v>0</v>
      </c>
      <c r="AX13" s="118">
        <f t="shared" si="26"/>
        <v>0</v>
      </c>
      <c r="AY13" s="118">
        <f t="shared" si="27"/>
        <v>0</v>
      </c>
      <c r="AZ13" s="118">
        <f t="shared" si="28"/>
        <v>0</v>
      </c>
      <c r="BA13" s="118">
        <f t="shared" si="29"/>
        <v>0</v>
      </c>
      <c r="BB13" s="118">
        <f t="shared" si="30"/>
        <v>0</v>
      </c>
      <c r="BC13" s="118">
        <f t="shared" si="31"/>
        <v>0</v>
      </c>
      <c r="BD13" s="8"/>
      <c r="BE13" s="5" t="s">
        <v>86</v>
      </c>
    </row>
    <row r="14" spans="1:57">
      <c r="A14" s="2"/>
      <c r="B14" s="3" t="s">
        <v>54</v>
      </c>
      <c r="C14" s="6">
        <v>15</v>
      </c>
      <c r="D14" s="507" t="s">
        <v>49</v>
      </c>
      <c r="E14" s="507"/>
      <c r="F14" s="507"/>
      <c r="G14" s="507"/>
      <c r="H14" s="507"/>
      <c r="I14" s="507"/>
      <c r="J14" s="507"/>
      <c r="K14" s="507"/>
      <c r="L14" s="507"/>
      <c r="M14" s="507"/>
      <c r="N14" s="507"/>
      <c r="O14" s="507"/>
      <c r="P14" s="507"/>
      <c r="Q14" s="180" t="s">
        <v>50</v>
      </c>
      <c r="R14" s="118">
        <f t="shared" si="6"/>
        <v>0</v>
      </c>
      <c r="S14" s="118">
        <f t="shared" si="7"/>
        <v>0</v>
      </c>
      <c r="T14" s="118">
        <f t="shared" si="8"/>
        <v>0</v>
      </c>
      <c r="U14" s="118">
        <f t="shared" si="9"/>
        <v>0</v>
      </c>
      <c r="V14" s="118">
        <f t="shared" si="10"/>
        <v>0</v>
      </c>
      <c r="W14" s="118">
        <f t="shared" si="11"/>
        <v>0</v>
      </c>
      <c r="X14" s="118">
        <f t="shared" si="12"/>
        <v>0</v>
      </c>
      <c r="Y14" s="118">
        <f t="shared" si="13"/>
        <v>0</v>
      </c>
      <c r="Z14" s="118">
        <f t="shared" si="14"/>
        <v>0</v>
      </c>
      <c r="AA14" s="118">
        <f t="shared" si="15"/>
        <v>0</v>
      </c>
      <c r="AB14" s="118">
        <f t="shared" si="16"/>
        <v>0</v>
      </c>
      <c r="AC14" s="118">
        <f t="shared" si="17"/>
        <v>0</v>
      </c>
      <c r="AD14" s="119"/>
      <c r="AE14" s="116">
        <f t="shared" si="18"/>
        <v>0</v>
      </c>
      <c r="AF14" s="116">
        <f t="shared" si="18"/>
        <v>0</v>
      </c>
      <c r="AG14" s="116">
        <f t="shared" si="18"/>
        <v>0</v>
      </c>
      <c r="AH14" s="116">
        <f t="shared" si="18"/>
        <v>0</v>
      </c>
      <c r="AI14" s="116">
        <f t="shared" si="18"/>
        <v>0</v>
      </c>
      <c r="AJ14" s="116">
        <f t="shared" si="18"/>
        <v>0</v>
      </c>
      <c r="AK14" s="116">
        <f t="shared" si="18"/>
        <v>0</v>
      </c>
      <c r="AL14" s="116">
        <f t="shared" si="18"/>
        <v>0</v>
      </c>
      <c r="AM14" s="116">
        <f t="shared" si="18"/>
        <v>0</v>
      </c>
      <c r="AN14" s="116">
        <f t="shared" si="18"/>
        <v>0</v>
      </c>
      <c r="AO14" s="116">
        <f t="shared" si="18"/>
        <v>0</v>
      </c>
      <c r="AP14" s="116">
        <f t="shared" si="18"/>
        <v>0</v>
      </c>
      <c r="AQ14" s="117">
        <f t="shared" si="19"/>
        <v>0</v>
      </c>
      <c r="AR14" s="118">
        <f t="shared" si="20"/>
        <v>0</v>
      </c>
      <c r="AS14" s="118">
        <f t="shared" si="21"/>
        <v>0</v>
      </c>
      <c r="AT14" s="118">
        <f t="shared" si="22"/>
        <v>0</v>
      </c>
      <c r="AU14" s="118">
        <f t="shared" si="23"/>
        <v>0</v>
      </c>
      <c r="AV14" s="118">
        <f t="shared" si="24"/>
        <v>0</v>
      </c>
      <c r="AW14" s="118">
        <f t="shared" si="25"/>
        <v>0</v>
      </c>
      <c r="AX14" s="118">
        <f t="shared" si="26"/>
        <v>0</v>
      </c>
      <c r="AY14" s="118">
        <f t="shared" si="27"/>
        <v>0</v>
      </c>
      <c r="AZ14" s="118">
        <f t="shared" si="28"/>
        <v>0</v>
      </c>
      <c r="BA14" s="118">
        <f t="shared" si="29"/>
        <v>0</v>
      </c>
      <c r="BB14" s="118">
        <f t="shared" si="30"/>
        <v>0</v>
      </c>
      <c r="BC14" s="118">
        <f t="shared" si="31"/>
        <v>0</v>
      </c>
      <c r="BD14" s="8"/>
      <c r="BE14" s="5" t="s">
        <v>86</v>
      </c>
    </row>
    <row r="15" spans="1:57">
      <c r="A15" s="2"/>
      <c r="B15" s="3"/>
      <c r="C15" s="6"/>
      <c r="D15" s="507" t="s">
        <v>52</v>
      </c>
      <c r="E15" s="507"/>
      <c r="F15" s="507"/>
      <c r="G15" s="507"/>
      <c r="H15" s="507"/>
      <c r="I15" s="507"/>
      <c r="J15" s="507"/>
      <c r="K15" s="507"/>
      <c r="L15" s="507"/>
      <c r="M15" s="507"/>
      <c r="N15" s="507"/>
      <c r="O15" s="507"/>
      <c r="P15" s="507"/>
      <c r="Q15" s="115" t="s">
        <v>53</v>
      </c>
      <c r="R15" s="118">
        <f t="shared" si="6"/>
        <v>0</v>
      </c>
      <c r="S15" s="118">
        <f t="shared" si="7"/>
        <v>0</v>
      </c>
      <c r="T15" s="118">
        <f t="shared" si="8"/>
        <v>0</v>
      </c>
      <c r="U15" s="118">
        <f t="shared" si="9"/>
        <v>0</v>
      </c>
      <c r="V15" s="118">
        <f t="shared" si="10"/>
        <v>0</v>
      </c>
      <c r="W15" s="118">
        <f t="shared" si="11"/>
        <v>0</v>
      </c>
      <c r="X15" s="118">
        <f t="shared" si="12"/>
        <v>0</v>
      </c>
      <c r="Y15" s="118">
        <f t="shared" si="13"/>
        <v>0</v>
      </c>
      <c r="Z15" s="118">
        <f t="shared" si="14"/>
        <v>0</v>
      </c>
      <c r="AA15" s="118">
        <f t="shared" si="15"/>
        <v>0</v>
      </c>
      <c r="AB15" s="118">
        <f t="shared" si="16"/>
        <v>0</v>
      </c>
      <c r="AC15" s="118">
        <f t="shared" si="17"/>
        <v>0</v>
      </c>
      <c r="AD15" s="119"/>
      <c r="AE15" s="116">
        <f t="shared" si="18"/>
        <v>0</v>
      </c>
      <c r="AF15" s="116">
        <f t="shared" si="18"/>
        <v>0</v>
      </c>
      <c r="AG15" s="116">
        <f t="shared" si="18"/>
        <v>0</v>
      </c>
      <c r="AH15" s="116">
        <f t="shared" si="18"/>
        <v>0</v>
      </c>
      <c r="AI15" s="116">
        <f t="shared" si="18"/>
        <v>0</v>
      </c>
      <c r="AJ15" s="116">
        <f t="shared" si="18"/>
        <v>0</v>
      </c>
      <c r="AK15" s="116">
        <f t="shared" si="18"/>
        <v>0</v>
      </c>
      <c r="AL15" s="116">
        <f t="shared" si="18"/>
        <v>0</v>
      </c>
      <c r="AM15" s="116">
        <f t="shared" si="18"/>
        <v>0</v>
      </c>
      <c r="AN15" s="116">
        <f t="shared" si="18"/>
        <v>0</v>
      </c>
      <c r="AO15" s="116">
        <f t="shared" si="18"/>
        <v>0</v>
      </c>
      <c r="AP15" s="116">
        <f t="shared" si="18"/>
        <v>0</v>
      </c>
      <c r="AQ15" s="117">
        <f t="shared" si="19"/>
        <v>0</v>
      </c>
      <c r="AR15" s="118">
        <f t="shared" si="20"/>
        <v>0</v>
      </c>
      <c r="AS15" s="118">
        <f t="shared" si="21"/>
        <v>0</v>
      </c>
      <c r="AT15" s="118">
        <f t="shared" si="22"/>
        <v>0</v>
      </c>
      <c r="AU15" s="118">
        <f t="shared" si="23"/>
        <v>0</v>
      </c>
      <c r="AV15" s="118">
        <f t="shared" si="24"/>
        <v>0</v>
      </c>
      <c r="AW15" s="118">
        <f t="shared" si="25"/>
        <v>0</v>
      </c>
      <c r="AX15" s="118">
        <f t="shared" si="26"/>
        <v>0</v>
      </c>
      <c r="AY15" s="118">
        <f t="shared" si="27"/>
        <v>0</v>
      </c>
      <c r="AZ15" s="118">
        <f t="shared" si="28"/>
        <v>0</v>
      </c>
      <c r="BA15" s="118">
        <f t="shared" si="29"/>
        <v>0</v>
      </c>
      <c r="BB15" s="118">
        <f t="shared" si="30"/>
        <v>0</v>
      </c>
      <c r="BC15" s="118">
        <f t="shared" si="31"/>
        <v>0</v>
      </c>
      <c r="BD15" s="8"/>
      <c r="BE15" s="5" t="s">
        <v>86</v>
      </c>
    </row>
    <row r="16" spans="1:57">
      <c r="A16" s="2"/>
      <c r="B16" s="5" t="s">
        <v>30</v>
      </c>
      <c r="C16" s="140">
        <f>IFERROR(BD167/12/C167,0)</f>
        <v>37935.985489130428</v>
      </c>
      <c r="D16" s="507" t="s">
        <v>366</v>
      </c>
      <c r="E16" s="507"/>
      <c r="F16" s="507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180" t="s">
        <v>55</v>
      </c>
      <c r="R16" s="118">
        <f t="shared" si="6"/>
        <v>9.5</v>
      </c>
      <c r="S16" s="118">
        <f t="shared" si="7"/>
        <v>5</v>
      </c>
      <c r="T16" s="118">
        <f t="shared" si="8"/>
        <v>4.5</v>
      </c>
      <c r="U16" s="118">
        <f t="shared" si="9"/>
        <v>0</v>
      </c>
      <c r="V16" s="118">
        <f t="shared" si="10"/>
        <v>0</v>
      </c>
      <c r="W16" s="118">
        <f t="shared" si="11"/>
        <v>0</v>
      </c>
      <c r="X16" s="118">
        <f t="shared" si="12"/>
        <v>0</v>
      </c>
      <c r="Y16" s="118">
        <f t="shared" si="13"/>
        <v>0</v>
      </c>
      <c r="Z16" s="118">
        <f t="shared" si="14"/>
        <v>0</v>
      </c>
      <c r="AA16" s="118">
        <f t="shared" si="15"/>
        <v>0</v>
      </c>
      <c r="AB16" s="118">
        <f t="shared" si="16"/>
        <v>0</v>
      </c>
      <c r="AC16" s="118">
        <f t="shared" si="17"/>
        <v>0</v>
      </c>
      <c r="AD16" s="119">
        <v>41253</v>
      </c>
      <c r="AE16" s="116">
        <f t="shared" si="18"/>
        <v>4702.8419999999996</v>
      </c>
      <c r="AF16" s="116">
        <f t="shared" si="18"/>
        <v>2475.1799999999998</v>
      </c>
      <c r="AG16" s="116">
        <f t="shared" si="18"/>
        <v>2227.6619999999998</v>
      </c>
      <c r="AH16" s="116">
        <f t="shared" si="18"/>
        <v>0</v>
      </c>
      <c r="AI16" s="116">
        <f t="shared" si="18"/>
        <v>0</v>
      </c>
      <c r="AJ16" s="116">
        <f t="shared" si="18"/>
        <v>0</v>
      </c>
      <c r="AK16" s="116">
        <f t="shared" si="18"/>
        <v>0</v>
      </c>
      <c r="AL16" s="116">
        <f t="shared" si="18"/>
        <v>0</v>
      </c>
      <c r="AM16" s="116">
        <f t="shared" si="18"/>
        <v>0</v>
      </c>
      <c r="AN16" s="116">
        <f t="shared" si="18"/>
        <v>0</v>
      </c>
      <c r="AO16" s="116">
        <f t="shared" si="18"/>
        <v>0</v>
      </c>
      <c r="AP16" s="116">
        <f t="shared" si="18"/>
        <v>0</v>
      </c>
      <c r="AQ16" s="117">
        <f t="shared" si="19"/>
        <v>27502</v>
      </c>
      <c r="AR16" s="118">
        <f t="shared" si="20"/>
        <v>11.5</v>
      </c>
      <c r="AS16" s="118">
        <f t="shared" si="21"/>
        <v>5</v>
      </c>
      <c r="AT16" s="118">
        <f t="shared" si="22"/>
        <v>6.5</v>
      </c>
      <c r="AU16" s="118">
        <f t="shared" si="23"/>
        <v>0</v>
      </c>
      <c r="AV16" s="118">
        <f t="shared" si="24"/>
        <v>0</v>
      </c>
      <c r="AW16" s="118">
        <f t="shared" si="25"/>
        <v>0</v>
      </c>
      <c r="AX16" s="118">
        <f t="shared" si="26"/>
        <v>0</v>
      </c>
      <c r="AY16" s="118">
        <f t="shared" si="27"/>
        <v>0</v>
      </c>
      <c r="AZ16" s="118">
        <f t="shared" si="28"/>
        <v>0</v>
      </c>
      <c r="BA16" s="118">
        <f t="shared" si="29"/>
        <v>0</v>
      </c>
      <c r="BB16" s="118">
        <f t="shared" si="30"/>
        <v>0</v>
      </c>
      <c r="BC16" s="118">
        <f t="shared" si="31"/>
        <v>0</v>
      </c>
      <c r="BD16" s="8"/>
      <c r="BE16" s="5" t="s">
        <v>86</v>
      </c>
    </row>
    <row r="17" spans="1:57">
      <c r="A17" s="2"/>
      <c r="B17" s="5" t="s">
        <v>33</v>
      </c>
      <c r="C17" s="140">
        <f>IFERROR(BD169/12/C169,0)</f>
        <v>99750</v>
      </c>
      <c r="D17" s="507" t="s">
        <v>367</v>
      </c>
      <c r="E17" s="507"/>
      <c r="F17" s="507"/>
      <c r="G17" s="507"/>
      <c r="H17" s="507"/>
      <c r="I17" s="507"/>
      <c r="J17" s="507"/>
      <c r="K17" s="507"/>
      <c r="L17" s="507"/>
      <c r="M17" s="507"/>
      <c r="N17" s="507"/>
      <c r="O17" s="507"/>
      <c r="P17" s="507"/>
      <c r="Q17" s="180" t="s">
        <v>56</v>
      </c>
      <c r="R17" s="118">
        <f t="shared" si="6"/>
        <v>5</v>
      </c>
      <c r="S17" s="118">
        <f t="shared" si="7"/>
        <v>5</v>
      </c>
      <c r="T17" s="118">
        <f t="shared" si="8"/>
        <v>0</v>
      </c>
      <c r="U17" s="118">
        <f t="shared" si="9"/>
        <v>0</v>
      </c>
      <c r="V17" s="118">
        <f t="shared" si="10"/>
        <v>0</v>
      </c>
      <c r="W17" s="118">
        <f t="shared" si="11"/>
        <v>0</v>
      </c>
      <c r="X17" s="118">
        <f t="shared" si="12"/>
        <v>0</v>
      </c>
      <c r="Y17" s="118">
        <f t="shared" si="13"/>
        <v>0</v>
      </c>
      <c r="Z17" s="118">
        <f t="shared" si="14"/>
        <v>0</v>
      </c>
      <c r="AA17" s="118">
        <f t="shared" si="15"/>
        <v>0</v>
      </c>
      <c r="AB17" s="118">
        <f t="shared" si="16"/>
        <v>0</v>
      </c>
      <c r="AC17" s="118">
        <f t="shared" si="17"/>
        <v>0</v>
      </c>
      <c r="AD17" s="119">
        <v>43221</v>
      </c>
      <c r="AE17" s="116">
        <f t="shared" si="18"/>
        <v>2593.2600000000002</v>
      </c>
      <c r="AF17" s="116">
        <f t="shared" si="18"/>
        <v>2593.2600000000002</v>
      </c>
      <c r="AG17" s="116">
        <f t="shared" si="18"/>
        <v>0</v>
      </c>
      <c r="AH17" s="116">
        <f t="shared" si="18"/>
        <v>0</v>
      </c>
      <c r="AI17" s="116">
        <f t="shared" si="18"/>
        <v>0</v>
      </c>
      <c r="AJ17" s="116">
        <f t="shared" si="18"/>
        <v>0</v>
      </c>
      <c r="AK17" s="116">
        <f t="shared" si="18"/>
        <v>0</v>
      </c>
      <c r="AL17" s="116">
        <f t="shared" si="18"/>
        <v>0</v>
      </c>
      <c r="AM17" s="116">
        <f t="shared" si="18"/>
        <v>0</v>
      </c>
      <c r="AN17" s="116">
        <f t="shared" si="18"/>
        <v>0</v>
      </c>
      <c r="AO17" s="116">
        <f t="shared" si="18"/>
        <v>0</v>
      </c>
      <c r="AP17" s="116">
        <f t="shared" si="18"/>
        <v>0</v>
      </c>
      <c r="AQ17" s="117">
        <f t="shared" si="19"/>
        <v>28814</v>
      </c>
      <c r="AR17" s="118">
        <f t="shared" si="20"/>
        <v>5.5</v>
      </c>
      <c r="AS17" s="118">
        <f t="shared" si="21"/>
        <v>5.5</v>
      </c>
      <c r="AT17" s="118">
        <f t="shared" si="22"/>
        <v>0</v>
      </c>
      <c r="AU17" s="118">
        <f t="shared" si="23"/>
        <v>0</v>
      </c>
      <c r="AV17" s="118">
        <f t="shared" si="24"/>
        <v>0</v>
      </c>
      <c r="AW17" s="118">
        <f t="shared" si="25"/>
        <v>0</v>
      </c>
      <c r="AX17" s="118">
        <f t="shared" si="26"/>
        <v>0</v>
      </c>
      <c r="AY17" s="118">
        <f t="shared" si="27"/>
        <v>0</v>
      </c>
      <c r="AZ17" s="118">
        <f t="shared" si="28"/>
        <v>0</v>
      </c>
      <c r="BA17" s="118">
        <f t="shared" si="29"/>
        <v>0</v>
      </c>
      <c r="BB17" s="118">
        <f t="shared" si="30"/>
        <v>0</v>
      </c>
      <c r="BC17" s="118">
        <f t="shared" si="31"/>
        <v>0</v>
      </c>
      <c r="BD17" s="8"/>
      <c r="BE17" s="5" t="s">
        <v>86</v>
      </c>
    </row>
    <row r="18" spans="1:57">
      <c r="A18" s="2"/>
      <c r="B18" s="5" t="s">
        <v>35</v>
      </c>
      <c r="C18" s="140">
        <f>IFERROR(BD171/12/C171,0)</f>
        <v>36562.340722222216</v>
      </c>
      <c r="D18" s="506" t="s">
        <v>57</v>
      </c>
      <c r="E18" s="506"/>
      <c r="F18" s="506"/>
      <c r="G18" s="506"/>
      <c r="H18" s="506"/>
      <c r="I18" s="506"/>
      <c r="J18" s="506"/>
      <c r="K18" s="506"/>
      <c r="L18" s="506"/>
      <c r="M18" s="506"/>
      <c r="N18" s="506"/>
      <c r="O18" s="506"/>
      <c r="P18" s="506"/>
      <c r="Q18" s="176" t="s">
        <v>58</v>
      </c>
      <c r="R18" s="177">
        <f>SUM(R174:R188)</f>
        <v>0</v>
      </c>
      <c r="S18" s="177">
        <f t="shared" ref="S18:AB18" si="32">SUM(S174:S188)</f>
        <v>0</v>
      </c>
      <c r="T18" s="177">
        <f t="shared" si="32"/>
        <v>0</v>
      </c>
      <c r="U18" s="177">
        <f t="shared" si="32"/>
        <v>0</v>
      </c>
      <c r="V18" s="177">
        <f t="shared" si="32"/>
        <v>0</v>
      </c>
      <c r="W18" s="177">
        <f t="shared" si="32"/>
        <v>0</v>
      </c>
      <c r="X18" s="177">
        <f t="shared" si="32"/>
        <v>0</v>
      </c>
      <c r="Y18" s="177">
        <f t="shared" si="32"/>
        <v>0</v>
      </c>
      <c r="Z18" s="177">
        <f t="shared" si="32"/>
        <v>0</v>
      </c>
      <c r="AA18" s="177">
        <f t="shared" si="32"/>
        <v>0</v>
      </c>
      <c r="AB18" s="177">
        <f t="shared" si="32"/>
        <v>0</v>
      </c>
      <c r="AC18" s="177">
        <f>SUM(AC174:AC188)</f>
        <v>0</v>
      </c>
      <c r="AD18" s="178" t="e">
        <f>AE18*1000/12/R18</f>
        <v>#DIV/0!</v>
      </c>
      <c r="AE18" s="177">
        <f>SUM(AE174:AE188)</f>
        <v>0</v>
      </c>
      <c r="AF18" s="177">
        <f t="shared" ref="AF18:AP18" si="33">SUM(AF174:AF188)</f>
        <v>0</v>
      </c>
      <c r="AG18" s="177">
        <f t="shared" si="33"/>
        <v>0</v>
      </c>
      <c r="AH18" s="177">
        <f t="shared" si="33"/>
        <v>0</v>
      </c>
      <c r="AI18" s="177">
        <f t="shared" si="33"/>
        <v>0</v>
      </c>
      <c r="AJ18" s="177">
        <f t="shared" si="33"/>
        <v>0</v>
      </c>
      <c r="AK18" s="177">
        <f t="shared" si="33"/>
        <v>0</v>
      </c>
      <c r="AL18" s="177">
        <f t="shared" si="33"/>
        <v>0</v>
      </c>
      <c r="AM18" s="177">
        <f t="shared" si="33"/>
        <v>0</v>
      </c>
      <c r="AN18" s="177">
        <f t="shared" si="33"/>
        <v>0</v>
      </c>
      <c r="AO18" s="177">
        <f t="shared" si="33"/>
        <v>0</v>
      </c>
      <c r="AP18" s="177">
        <f t="shared" si="33"/>
        <v>0</v>
      </c>
      <c r="AQ18" s="179">
        <f t="shared" si="19"/>
        <v>0</v>
      </c>
      <c r="AR18" s="177">
        <f>SUM(AR174:AR188)</f>
        <v>0</v>
      </c>
      <c r="AS18" s="177">
        <f t="shared" ref="AS18:BB18" si="34">SUM(AS174:AS188)</f>
        <v>0</v>
      </c>
      <c r="AT18" s="177">
        <f t="shared" si="34"/>
        <v>0</v>
      </c>
      <c r="AU18" s="177">
        <f t="shared" si="34"/>
        <v>0</v>
      </c>
      <c r="AV18" s="177">
        <f t="shared" si="34"/>
        <v>0</v>
      </c>
      <c r="AW18" s="177">
        <f t="shared" si="34"/>
        <v>0</v>
      </c>
      <c r="AX18" s="177">
        <f t="shared" si="34"/>
        <v>0</v>
      </c>
      <c r="AY18" s="177">
        <f t="shared" si="34"/>
        <v>0</v>
      </c>
      <c r="AZ18" s="177">
        <f t="shared" si="34"/>
        <v>0</v>
      </c>
      <c r="BA18" s="177">
        <f t="shared" si="34"/>
        <v>0</v>
      </c>
      <c r="BB18" s="177">
        <f t="shared" si="34"/>
        <v>0</v>
      </c>
      <c r="BC18" s="177">
        <f>SUM(BC174:BC188)</f>
        <v>0</v>
      </c>
      <c r="BD18" s="8"/>
      <c r="BE18" s="5" t="s">
        <v>86</v>
      </c>
    </row>
    <row r="19" spans="1:57" ht="31.5" customHeight="1">
      <c r="A19" s="2"/>
      <c r="B19" s="5"/>
      <c r="C19" s="140"/>
      <c r="D19" s="507" t="s">
        <v>549</v>
      </c>
      <c r="E19" s="507"/>
      <c r="F19" s="507"/>
      <c r="G19" s="507"/>
      <c r="H19" s="507"/>
      <c r="I19" s="507"/>
      <c r="J19" s="507"/>
      <c r="K19" s="507"/>
      <c r="L19" s="507"/>
      <c r="M19" s="507"/>
      <c r="N19" s="507"/>
      <c r="O19" s="507"/>
      <c r="P19" s="507"/>
      <c r="Q19" s="115" t="s">
        <v>59</v>
      </c>
      <c r="R19" s="118">
        <f t="shared" ref="R19:AC22" si="35">SUMIF($A$35:$A$166,$Q19,C$35:C$166)</f>
        <v>5</v>
      </c>
      <c r="S19" s="118">
        <f t="shared" si="35"/>
        <v>5</v>
      </c>
      <c r="T19" s="118">
        <f t="shared" si="35"/>
        <v>0</v>
      </c>
      <c r="U19" s="118">
        <f t="shared" si="35"/>
        <v>0</v>
      </c>
      <c r="V19" s="118">
        <f t="shared" si="35"/>
        <v>0</v>
      </c>
      <c r="W19" s="118">
        <f t="shared" si="35"/>
        <v>0</v>
      </c>
      <c r="X19" s="118">
        <f t="shared" si="35"/>
        <v>0</v>
      </c>
      <c r="Y19" s="118">
        <f t="shared" si="35"/>
        <v>0</v>
      </c>
      <c r="Z19" s="118">
        <f t="shared" si="35"/>
        <v>0</v>
      </c>
      <c r="AA19" s="118">
        <f t="shared" si="35"/>
        <v>0</v>
      </c>
      <c r="AB19" s="118">
        <f t="shared" si="35"/>
        <v>0</v>
      </c>
      <c r="AC19" s="118">
        <f t="shared" si="35"/>
        <v>0</v>
      </c>
      <c r="AD19" s="119">
        <v>41600</v>
      </c>
      <c r="AE19" s="116">
        <f t="shared" ref="AE19:AP26" si="36">$AD19*R19*12/1000</f>
        <v>2496</v>
      </c>
      <c r="AF19" s="116">
        <f t="shared" si="36"/>
        <v>2496</v>
      </c>
      <c r="AG19" s="116">
        <f t="shared" si="36"/>
        <v>0</v>
      </c>
      <c r="AH19" s="116">
        <f t="shared" si="36"/>
        <v>0</v>
      </c>
      <c r="AI19" s="116">
        <f t="shared" si="36"/>
        <v>0</v>
      </c>
      <c r="AJ19" s="116">
        <f t="shared" si="36"/>
        <v>0</v>
      </c>
      <c r="AK19" s="116">
        <f t="shared" si="36"/>
        <v>0</v>
      </c>
      <c r="AL19" s="116">
        <f t="shared" si="36"/>
        <v>0</v>
      </c>
      <c r="AM19" s="116">
        <f t="shared" si="18"/>
        <v>0</v>
      </c>
      <c r="AN19" s="116">
        <f t="shared" si="18"/>
        <v>0</v>
      </c>
      <c r="AO19" s="116">
        <f t="shared" si="18"/>
        <v>0</v>
      </c>
      <c r="AP19" s="116">
        <f t="shared" si="18"/>
        <v>0</v>
      </c>
      <c r="AQ19" s="117">
        <f t="shared" si="19"/>
        <v>27733.333333333332</v>
      </c>
      <c r="AR19" s="118">
        <f t="shared" ref="AR19:BC22" si="37">SUMIF($A$35:$A$166,$Q19,O$35:O$166)</f>
        <v>6</v>
      </c>
      <c r="AS19" s="118">
        <f t="shared" si="37"/>
        <v>6</v>
      </c>
      <c r="AT19" s="118">
        <f t="shared" si="37"/>
        <v>0</v>
      </c>
      <c r="AU19" s="118">
        <f t="shared" si="37"/>
        <v>0</v>
      </c>
      <c r="AV19" s="118">
        <f t="shared" si="37"/>
        <v>0</v>
      </c>
      <c r="AW19" s="118">
        <f t="shared" si="37"/>
        <v>0</v>
      </c>
      <c r="AX19" s="118">
        <f t="shared" si="37"/>
        <v>0</v>
      </c>
      <c r="AY19" s="118">
        <f t="shared" si="37"/>
        <v>0</v>
      </c>
      <c r="AZ19" s="118">
        <f t="shared" si="37"/>
        <v>0</v>
      </c>
      <c r="BA19" s="118">
        <f t="shared" si="37"/>
        <v>0</v>
      </c>
      <c r="BB19" s="118">
        <f t="shared" si="37"/>
        <v>0</v>
      </c>
      <c r="BC19" s="118">
        <f t="shared" si="37"/>
        <v>0</v>
      </c>
      <c r="BD19" s="8"/>
      <c r="BE19" s="5" t="s">
        <v>86</v>
      </c>
    </row>
    <row r="20" spans="1:57" ht="27.6">
      <c r="A20" s="2"/>
      <c r="B20" s="9" t="s">
        <v>41</v>
      </c>
      <c r="C20" s="140">
        <f>IFERROR(C17/C18,0)</f>
        <v>2.7282170131786168</v>
      </c>
      <c r="D20" s="507" t="s">
        <v>60</v>
      </c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180" t="s">
        <v>61</v>
      </c>
      <c r="R20" s="118">
        <f t="shared" si="35"/>
        <v>25</v>
      </c>
      <c r="S20" s="118">
        <f t="shared" si="35"/>
        <v>5</v>
      </c>
      <c r="T20" s="118">
        <f t="shared" si="35"/>
        <v>20</v>
      </c>
      <c r="U20" s="118">
        <f t="shared" si="35"/>
        <v>0</v>
      </c>
      <c r="V20" s="118">
        <f t="shared" si="35"/>
        <v>0</v>
      </c>
      <c r="W20" s="118">
        <f t="shared" si="35"/>
        <v>0</v>
      </c>
      <c r="X20" s="118">
        <f t="shared" si="35"/>
        <v>0</v>
      </c>
      <c r="Y20" s="118">
        <f t="shared" si="35"/>
        <v>0</v>
      </c>
      <c r="Z20" s="118">
        <f t="shared" si="35"/>
        <v>0</v>
      </c>
      <c r="AA20" s="118">
        <f t="shared" si="35"/>
        <v>0</v>
      </c>
      <c r="AB20" s="118">
        <f t="shared" si="35"/>
        <v>0</v>
      </c>
      <c r="AC20" s="118">
        <f t="shared" si="35"/>
        <v>0</v>
      </c>
      <c r="AD20" s="119">
        <v>32100</v>
      </c>
      <c r="AE20" s="116">
        <f t="shared" si="36"/>
        <v>9630</v>
      </c>
      <c r="AF20" s="116">
        <f t="shared" si="36"/>
        <v>1926</v>
      </c>
      <c r="AG20" s="116">
        <f t="shared" si="36"/>
        <v>7704</v>
      </c>
      <c r="AH20" s="116">
        <f t="shared" si="36"/>
        <v>0</v>
      </c>
      <c r="AI20" s="116">
        <f t="shared" si="36"/>
        <v>0</v>
      </c>
      <c r="AJ20" s="116">
        <f t="shared" si="36"/>
        <v>0</v>
      </c>
      <c r="AK20" s="116">
        <f t="shared" si="36"/>
        <v>0</v>
      </c>
      <c r="AL20" s="116">
        <f t="shared" si="36"/>
        <v>0</v>
      </c>
      <c r="AM20" s="116">
        <f t="shared" si="18"/>
        <v>0</v>
      </c>
      <c r="AN20" s="116">
        <f t="shared" si="18"/>
        <v>0</v>
      </c>
      <c r="AO20" s="116">
        <f t="shared" si="18"/>
        <v>0</v>
      </c>
      <c r="AP20" s="116">
        <f t="shared" si="18"/>
        <v>0</v>
      </c>
      <c r="AQ20" s="117">
        <f t="shared" si="19"/>
        <v>21400</v>
      </c>
      <c r="AR20" s="118">
        <f t="shared" si="37"/>
        <v>27</v>
      </c>
      <c r="AS20" s="118">
        <f t="shared" si="37"/>
        <v>5</v>
      </c>
      <c r="AT20" s="118">
        <f t="shared" si="37"/>
        <v>22</v>
      </c>
      <c r="AU20" s="118">
        <f t="shared" si="37"/>
        <v>0</v>
      </c>
      <c r="AV20" s="118">
        <f t="shared" si="37"/>
        <v>0</v>
      </c>
      <c r="AW20" s="118">
        <f t="shared" si="37"/>
        <v>0</v>
      </c>
      <c r="AX20" s="118">
        <f t="shared" si="37"/>
        <v>0</v>
      </c>
      <c r="AY20" s="118">
        <f t="shared" si="37"/>
        <v>0</v>
      </c>
      <c r="AZ20" s="118">
        <f t="shared" si="37"/>
        <v>0</v>
      </c>
      <c r="BA20" s="118">
        <f t="shared" si="37"/>
        <v>0</v>
      </c>
      <c r="BB20" s="118">
        <f t="shared" si="37"/>
        <v>0</v>
      </c>
      <c r="BC20" s="118">
        <f t="shared" si="37"/>
        <v>0</v>
      </c>
      <c r="BD20" s="8"/>
      <c r="BE20" s="5" t="s">
        <v>86</v>
      </c>
    </row>
    <row r="21" spans="1:57">
      <c r="A21" s="2"/>
      <c r="B21" s="3" t="s">
        <v>346</v>
      </c>
      <c r="C21" s="138">
        <f>SUM(C23:C26)</f>
        <v>0</v>
      </c>
      <c r="D21" s="507" t="s">
        <v>368</v>
      </c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115" t="s">
        <v>62</v>
      </c>
      <c r="R21" s="118">
        <f t="shared" si="35"/>
        <v>32</v>
      </c>
      <c r="S21" s="118">
        <f t="shared" si="35"/>
        <v>0</v>
      </c>
      <c r="T21" s="118">
        <f t="shared" si="35"/>
        <v>32</v>
      </c>
      <c r="U21" s="118">
        <f t="shared" si="35"/>
        <v>0</v>
      </c>
      <c r="V21" s="118">
        <f t="shared" si="35"/>
        <v>0</v>
      </c>
      <c r="W21" s="118">
        <f t="shared" si="35"/>
        <v>0</v>
      </c>
      <c r="X21" s="118">
        <f t="shared" si="35"/>
        <v>0</v>
      </c>
      <c r="Y21" s="118">
        <f t="shared" si="35"/>
        <v>0</v>
      </c>
      <c r="Z21" s="118">
        <f t="shared" si="35"/>
        <v>0</v>
      </c>
      <c r="AA21" s="118">
        <f t="shared" si="35"/>
        <v>0</v>
      </c>
      <c r="AB21" s="118">
        <f t="shared" si="35"/>
        <v>0</v>
      </c>
      <c r="AC21" s="118">
        <f t="shared" si="35"/>
        <v>0</v>
      </c>
      <c r="AD21" s="119">
        <v>34212</v>
      </c>
      <c r="AE21" s="116">
        <f t="shared" si="36"/>
        <v>13137.407999999999</v>
      </c>
      <c r="AF21" s="116">
        <f t="shared" si="36"/>
        <v>0</v>
      </c>
      <c r="AG21" s="116">
        <f t="shared" si="36"/>
        <v>13137.407999999999</v>
      </c>
      <c r="AH21" s="116">
        <f t="shared" si="36"/>
        <v>0</v>
      </c>
      <c r="AI21" s="116">
        <f t="shared" si="36"/>
        <v>0</v>
      </c>
      <c r="AJ21" s="116">
        <f t="shared" si="36"/>
        <v>0</v>
      </c>
      <c r="AK21" s="116">
        <f t="shared" si="36"/>
        <v>0</v>
      </c>
      <c r="AL21" s="116">
        <f t="shared" si="36"/>
        <v>0</v>
      </c>
      <c r="AM21" s="116">
        <f t="shared" si="18"/>
        <v>0</v>
      </c>
      <c r="AN21" s="116">
        <f t="shared" si="18"/>
        <v>0</v>
      </c>
      <c r="AO21" s="116">
        <f t="shared" si="18"/>
        <v>0</v>
      </c>
      <c r="AP21" s="116">
        <f t="shared" si="18"/>
        <v>0</v>
      </c>
      <c r="AQ21" s="117">
        <f t="shared" si="19"/>
        <v>22808</v>
      </c>
      <c r="AR21" s="118">
        <f t="shared" si="37"/>
        <v>33</v>
      </c>
      <c r="AS21" s="118">
        <f t="shared" si="37"/>
        <v>0</v>
      </c>
      <c r="AT21" s="118">
        <f t="shared" si="37"/>
        <v>33</v>
      </c>
      <c r="AU21" s="118">
        <f t="shared" si="37"/>
        <v>0</v>
      </c>
      <c r="AV21" s="118">
        <f t="shared" si="37"/>
        <v>0</v>
      </c>
      <c r="AW21" s="118">
        <f t="shared" si="37"/>
        <v>0</v>
      </c>
      <c r="AX21" s="118">
        <f t="shared" si="37"/>
        <v>0</v>
      </c>
      <c r="AY21" s="118">
        <f t="shared" si="37"/>
        <v>0</v>
      </c>
      <c r="AZ21" s="118">
        <f t="shared" si="37"/>
        <v>0</v>
      </c>
      <c r="BA21" s="118">
        <f t="shared" si="37"/>
        <v>0</v>
      </c>
      <c r="BB21" s="118">
        <f t="shared" si="37"/>
        <v>0</v>
      </c>
      <c r="BC21" s="118">
        <f t="shared" si="37"/>
        <v>0</v>
      </c>
      <c r="BD21" s="8"/>
      <c r="BE21" s="5" t="s">
        <v>86</v>
      </c>
    </row>
    <row r="22" spans="1:57">
      <c r="A22" s="2"/>
      <c r="B22" s="3" t="s">
        <v>342</v>
      </c>
      <c r="C22" s="138"/>
      <c r="D22" s="507" t="s">
        <v>369</v>
      </c>
      <c r="E22" s="50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180" t="s">
        <v>63</v>
      </c>
      <c r="R22" s="118">
        <f t="shared" si="35"/>
        <v>2</v>
      </c>
      <c r="S22" s="118">
        <f t="shared" si="35"/>
        <v>2</v>
      </c>
      <c r="T22" s="118">
        <f t="shared" si="35"/>
        <v>0</v>
      </c>
      <c r="U22" s="118">
        <f t="shared" si="35"/>
        <v>0</v>
      </c>
      <c r="V22" s="118">
        <f t="shared" si="35"/>
        <v>0</v>
      </c>
      <c r="W22" s="118">
        <f t="shared" si="35"/>
        <v>0</v>
      </c>
      <c r="X22" s="118">
        <f t="shared" si="35"/>
        <v>0</v>
      </c>
      <c r="Y22" s="118">
        <f t="shared" si="35"/>
        <v>0</v>
      </c>
      <c r="Z22" s="118">
        <f t="shared" si="35"/>
        <v>0</v>
      </c>
      <c r="AA22" s="118">
        <f t="shared" si="35"/>
        <v>0</v>
      </c>
      <c r="AB22" s="118">
        <f t="shared" si="35"/>
        <v>0</v>
      </c>
      <c r="AC22" s="118">
        <f t="shared" si="35"/>
        <v>0</v>
      </c>
      <c r="AD22" s="119">
        <v>29934</v>
      </c>
      <c r="AE22" s="116">
        <f t="shared" si="36"/>
        <v>718.41600000000005</v>
      </c>
      <c r="AF22" s="116">
        <f t="shared" si="36"/>
        <v>718.41600000000005</v>
      </c>
      <c r="AG22" s="116">
        <f t="shared" si="36"/>
        <v>0</v>
      </c>
      <c r="AH22" s="116">
        <f t="shared" si="36"/>
        <v>0</v>
      </c>
      <c r="AI22" s="116">
        <f t="shared" si="36"/>
        <v>0</v>
      </c>
      <c r="AJ22" s="116">
        <f t="shared" si="36"/>
        <v>0</v>
      </c>
      <c r="AK22" s="116">
        <f t="shared" si="36"/>
        <v>0</v>
      </c>
      <c r="AL22" s="116">
        <f t="shared" si="36"/>
        <v>0</v>
      </c>
      <c r="AM22" s="116">
        <f t="shared" si="36"/>
        <v>0</v>
      </c>
      <c r="AN22" s="116">
        <f t="shared" si="36"/>
        <v>0</v>
      </c>
      <c r="AO22" s="116">
        <f t="shared" si="36"/>
        <v>0</v>
      </c>
      <c r="AP22" s="116">
        <f t="shared" si="36"/>
        <v>0</v>
      </c>
      <c r="AQ22" s="117">
        <f t="shared" si="19"/>
        <v>19956</v>
      </c>
      <c r="AR22" s="118">
        <f t="shared" si="37"/>
        <v>3</v>
      </c>
      <c r="AS22" s="118">
        <f t="shared" si="37"/>
        <v>3</v>
      </c>
      <c r="AT22" s="118">
        <f t="shared" si="37"/>
        <v>0</v>
      </c>
      <c r="AU22" s="118">
        <f t="shared" si="37"/>
        <v>0</v>
      </c>
      <c r="AV22" s="118">
        <f t="shared" si="37"/>
        <v>0</v>
      </c>
      <c r="AW22" s="118">
        <f t="shared" si="37"/>
        <v>0</v>
      </c>
      <c r="AX22" s="118">
        <f t="shared" si="37"/>
        <v>0</v>
      </c>
      <c r="AY22" s="118">
        <f t="shared" si="37"/>
        <v>0</v>
      </c>
      <c r="AZ22" s="118">
        <f t="shared" si="37"/>
        <v>0</v>
      </c>
      <c r="BA22" s="118">
        <f t="shared" si="37"/>
        <v>0</v>
      </c>
      <c r="BB22" s="118">
        <f t="shared" si="37"/>
        <v>0</v>
      </c>
      <c r="BC22" s="118">
        <f t="shared" si="37"/>
        <v>0</v>
      </c>
      <c r="BD22" s="8"/>
      <c r="BE22" s="5" t="s">
        <v>86</v>
      </c>
    </row>
    <row r="23" spans="1:57">
      <c r="A23" s="2"/>
      <c r="B23" s="3" t="s">
        <v>343</v>
      </c>
      <c r="C23" s="138"/>
      <c r="D23" s="506" t="s">
        <v>370</v>
      </c>
      <c r="E23" s="506"/>
      <c r="F23" s="506"/>
      <c r="G23" s="506"/>
      <c r="H23" s="506"/>
      <c r="I23" s="506"/>
      <c r="J23" s="506"/>
      <c r="K23" s="506"/>
      <c r="L23" s="506"/>
      <c r="M23" s="506"/>
      <c r="N23" s="506"/>
      <c r="O23" s="506"/>
      <c r="P23" s="506"/>
      <c r="Q23" s="176" t="s">
        <v>64</v>
      </c>
      <c r="R23" s="177">
        <f>SUM(R191:R193)</f>
        <v>0</v>
      </c>
      <c r="S23" s="177">
        <f t="shared" ref="S23:AP23" si="38">SUM(S191:S193)</f>
        <v>0</v>
      </c>
      <c r="T23" s="177">
        <f t="shared" si="38"/>
        <v>0</v>
      </c>
      <c r="U23" s="177">
        <f t="shared" si="38"/>
        <v>0</v>
      </c>
      <c r="V23" s="177">
        <f t="shared" si="38"/>
        <v>0</v>
      </c>
      <c r="W23" s="177">
        <f t="shared" si="38"/>
        <v>0</v>
      </c>
      <c r="X23" s="177">
        <f t="shared" si="38"/>
        <v>0</v>
      </c>
      <c r="Y23" s="177">
        <f t="shared" si="38"/>
        <v>0</v>
      </c>
      <c r="Z23" s="177">
        <f t="shared" si="38"/>
        <v>0</v>
      </c>
      <c r="AA23" s="177">
        <f t="shared" si="38"/>
        <v>0</v>
      </c>
      <c r="AB23" s="177">
        <f t="shared" si="38"/>
        <v>0</v>
      </c>
      <c r="AC23" s="177">
        <f t="shared" si="38"/>
        <v>0</v>
      </c>
      <c r="AD23" s="178" t="e">
        <f>AE23*1000/12/R23</f>
        <v>#DIV/0!</v>
      </c>
      <c r="AE23" s="177">
        <f t="shared" si="38"/>
        <v>0</v>
      </c>
      <c r="AF23" s="177">
        <f t="shared" si="38"/>
        <v>0</v>
      </c>
      <c r="AG23" s="177">
        <f t="shared" si="38"/>
        <v>0</v>
      </c>
      <c r="AH23" s="177">
        <f t="shared" si="38"/>
        <v>0</v>
      </c>
      <c r="AI23" s="177">
        <f t="shared" si="38"/>
        <v>0</v>
      </c>
      <c r="AJ23" s="177">
        <f t="shared" si="38"/>
        <v>0</v>
      </c>
      <c r="AK23" s="177">
        <f t="shared" si="38"/>
        <v>0</v>
      </c>
      <c r="AL23" s="177">
        <f t="shared" si="38"/>
        <v>0</v>
      </c>
      <c r="AM23" s="177">
        <f t="shared" si="38"/>
        <v>0</v>
      </c>
      <c r="AN23" s="177">
        <f t="shared" si="38"/>
        <v>0</v>
      </c>
      <c r="AO23" s="177">
        <f t="shared" si="38"/>
        <v>0</v>
      </c>
      <c r="AP23" s="177">
        <f t="shared" si="38"/>
        <v>0</v>
      </c>
      <c r="AQ23" s="179">
        <f t="shared" si="19"/>
        <v>0</v>
      </c>
      <c r="AR23" s="177">
        <f>SUM(AR191:AR193)</f>
        <v>0</v>
      </c>
      <c r="AS23" s="177">
        <f t="shared" ref="AS23:BC23" si="39">SUM(AS191:AS193)</f>
        <v>0</v>
      </c>
      <c r="AT23" s="177">
        <f t="shared" si="39"/>
        <v>0</v>
      </c>
      <c r="AU23" s="177">
        <f t="shared" si="39"/>
        <v>0</v>
      </c>
      <c r="AV23" s="177">
        <f t="shared" si="39"/>
        <v>0</v>
      </c>
      <c r="AW23" s="177">
        <f t="shared" si="39"/>
        <v>0</v>
      </c>
      <c r="AX23" s="177">
        <f t="shared" si="39"/>
        <v>0</v>
      </c>
      <c r="AY23" s="177">
        <f t="shared" si="39"/>
        <v>0</v>
      </c>
      <c r="AZ23" s="177">
        <f t="shared" si="39"/>
        <v>0</v>
      </c>
      <c r="BA23" s="177">
        <f t="shared" si="39"/>
        <v>0</v>
      </c>
      <c r="BB23" s="177">
        <f t="shared" si="39"/>
        <v>0</v>
      </c>
      <c r="BC23" s="177">
        <f t="shared" si="39"/>
        <v>0</v>
      </c>
      <c r="BD23" s="8"/>
      <c r="BE23" s="5" t="s">
        <v>86</v>
      </c>
    </row>
    <row r="24" spans="1:57">
      <c r="A24" s="2"/>
      <c r="B24" s="3" t="s">
        <v>535</v>
      </c>
      <c r="C24" s="138"/>
      <c r="D24" s="507" t="s">
        <v>371</v>
      </c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115" t="s">
        <v>372</v>
      </c>
      <c r="R24" s="118">
        <f t="shared" ref="R24:AC26" si="40">SUMIF($A$35:$A$166,$Q24,C$35:C$166)</f>
        <v>0</v>
      </c>
      <c r="S24" s="118">
        <f t="shared" si="40"/>
        <v>0</v>
      </c>
      <c r="T24" s="118">
        <f t="shared" si="40"/>
        <v>0</v>
      </c>
      <c r="U24" s="118">
        <f t="shared" si="40"/>
        <v>0</v>
      </c>
      <c r="V24" s="118">
        <f t="shared" si="40"/>
        <v>0</v>
      </c>
      <c r="W24" s="118">
        <f t="shared" si="40"/>
        <v>0</v>
      </c>
      <c r="X24" s="118">
        <f t="shared" si="40"/>
        <v>0</v>
      </c>
      <c r="Y24" s="118">
        <f t="shared" si="40"/>
        <v>0</v>
      </c>
      <c r="Z24" s="118">
        <f t="shared" si="40"/>
        <v>0</v>
      </c>
      <c r="AA24" s="118">
        <f t="shared" si="40"/>
        <v>0</v>
      </c>
      <c r="AB24" s="118">
        <f t="shared" si="40"/>
        <v>0</v>
      </c>
      <c r="AC24" s="118">
        <f t="shared" si="40"/>
        <v>0</v>
      </c>
      <c r="AD24" s="119"/>
      <c r="AE24" s="116">
        <f t="shared" ref="AE24:AL26" si="41">$AD24*R24*12/1000</f>
        <v>0</v>
      </c>
      <c r="AF24" s="116">
        <f t="shared" si="41"/>
        <v>0</v>
      </c>
      <c r="AG24" s="116">
        <f t="shared" si="41"/>
        <v>0</v>
      </c>
      <c r="AH24" s="116">
        <f t="shared" si="41"/>
        <v>0</v>
      </c>
      <c r="AI24" s="116">
        <f t="shared" si="41"/>
        <v>0</v>
      </c>
      <c r="AJ24" s="116">
        <f t="shared" si="41"/>
        <v>0</v>
      </c>
      <c r="AK24" s="116">
        <f t="shared" si="41"/>
        <v>0</v>
      </c>
      <c r="AL24" s="116">
        <f t="shared" si="41"/>
        <v>0</v>
      </c>
      <c r="AM24" s="116">
        <f t="shared" si="36"/>
        <v>0</v>
      </c>
      <c r="AN24" s="116">
        <f t="shared" si="36"/>
        <v>0</v>
      </c>
      <c r="AO24" s="116">
        <f t="shared" si="36"/>
        <v>0</v>
      </c>
      <c r="AP24" s="116">
        <f t="shared" si="36"/>
        <v>0</v>
      </c>
      <c r="AQ24" s="117">
        <f t="shared" si="19"/>
        <v>0</v>
      </c>
      <c r="AR24" s="118">
        <f t="shared" ref="AR24:BC26" si="42">SUMIF($A$35:$A$166,$Q24,O$35:O$166)</f>
        <v>0</v>
      </c>
      <c r="AS24" s="118">
        <f t="shared" si="42"/>
        <v>0</v>
      </c>
      <c r="AT24" s="118">
        <f t="shared" si="42"/>
        <v>0</v>
      </c>
      <c r="AU24" s="118">
        <f t="shared" si="42"/>
        <v>0</v>
      </c>
      <c r="AV24" s="118">
        <f t="shared" si="42"/>
        <v>0</v>
      </c>
      <c r="AW24" s="118">
        <f t="shared" si="42"/>
        <v>0</v>
      </c>
      <c r="AX24" s="118">
        <f t="shared" si="42"/>
        <v>0</v>
      </c>
      <c r="AY24" s="118">
        <f t="shared" si="42"/>
        <v>0</v>
      </c>
      <c r="AZ24" s="118">
        <f t="shared" si="42"/>
        <v>0</v>
      </c>
      <c r="BA24" s="118">
        <f t="shared" si="42"/>
        <v>0</v>
      </c>
      <c r="BB24" s="118">
        <f t="shared" si="42"/>
        <v>0</v>
      </c>
      <c r="BC24" s="118">
        <f t="shared" si="42"/>
        <v>0</v>
      </c>
      <c r="BD24" s="8"/>
      <c r="BE24" s="5" t="s">
        <v>86</v>
      </c>
    </row>
    <row r="25" spans="1:57">
      <c r="A25" s="2"/>
      <c r="B25" s="3" t="s">
        <v>344</v>
      </c>
      <c r="C25" s="138"/>
      <c r="D25" s="507" t="s">
        <v>373</v>
      </c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115" t="s">
        <v>374</v>
      </c>
      <c r="R25" s="118">
        <f t="shared" si="40"/>
        <v>0</v>
      </c>
      <c r="S25" s="118">
        <f t="shared" si="40"/>
        <v>0</v>
      </c>
      <c r="T25" s="118">
        <f t="shared" si="40"/>
        <v>0</v>
      </c>
      <c r="U25" s="118">
        <f t="shared" si="40"/>
        <v>0</v>
      </c>
      <c r="V25" s="118">
        <f t="shared" si="40"/>
        <v>0</v>
      </c>
      <c r="W25" s="118">
        <f t="shared" si="40"/>
        <v>0</v>
      </c>
      <c r="X25" s="118">
        <f t="shared" si="40"/>
        <v>0</v>
      </c>
      <c r="Y25" s="118">
        <f t="shared" si="40"/>
        <v>0</v>
      </c>
      <c r="Z25" s="118">
        <f t="shared" si="40"/>
        <v>0</v>
      </c>
      <c r="AA25" s="118">
        <f t="shared" si="40"/>
        <v>0</v>
      </c>
      <c r="AB25" s="118">
        <f t="shared" si="40"/>
        <v>0</v>
      </c>
      <c r="AC25" s="118">
        <f t="shared" si="40"/>
        <v>0</v>
      </c>
      <c r="AD25" s="119"/>
      <c r="AE25" s="116">
        <f t="shared" si="41"/>
        <v>0</v>
      </c>
      <c r="AF25" s="116">
        <f t="shared" si="41"/>
        <v>0</v>
      </c>
      <c r="AG25" s="116">
        <f t="shared" si="41"/>
        <v>0</v>
      </c>
      <c r="AH25" s="116">
        <f t="shared" si="41"/>
        <v>0</v>
      </c>
      <c r="AI25" s="116">
        <f t="shared" si="41"/>
        <v>0</v>
      </c>
      <c r="AJ25" s="116">
        <f t="shared" si="41"/>
        <v>0</v>
      </c>
      <c r="AK25" s="116">
        <f t="shared" si="41"/>
        <v>0</v>
      </c>
      <c r="AL25" s="116">
        <f t="shared" si="41"/>
        <v>0</v>
      </c>
      <c r="AM25" s="116">
        <f t="shared" si="36"/>
        <v>0</v>
      </c>
      <c r="AN25" s="116">
        <f t="shared" si="36"/>
        <v>0</v>
      </c>
      <c r="AO25" s="116">
        <f t="shared" si="36"/>
        <v>0</v>
      </c>
      <c r="AP25" s="116">
        <f t="shared" si="36"/>
        <v>0</v>
      </c>
      <c r="AQ25" s="117">
        <f t="shared" si="19"/>
        <v>0</v>
      </c>
      <c r="AR25" s="118">
        <f t="shared" si="42"/>
        <v>0</v>
      </c>
      <c r="AS25" s="118">
        <f t="shared" si="42"/>
        <v>0</v>
      </c>
      <c r="AT25" s="118">
        <f t="shared" si="42"/>
        <v>0</v>
      </c>
      <c r="AU25" s="118">
        <f t="shared" si="42"/>
        <v>0</v>
      </c>
      <c r="AV25" s="118">
        <f t="shared" si="42"/>
        <v>0</v>
      </c>
      <c r="AW25" s="118">
        <f t="shared" si="42"/>
        <v>0</v>
      </c>
      <c r="AX25" s="118">
        <f t="shared" si="42"/>
        <v>0</v>
      </c>
      <c r="AY25" s="118">
        <f t="shared" si="42"/>
        <v>0</v>
      </c>
      <c r="AZ25" s="118">
        <f t="shared" si="42"/>
        <v>0</v>
      </c>
      <c r="BA25" s="118">
        <f t="shared" si="42"/>
        <v>0</v>
      </c>
      <c r="BB25" s="118">
        <f t="shared" si="42"/>
        <v>0</v>
      </c>
      <c r="BC25" s="118">
        <f t="shared" si="42"/>
        <v>0</v>
      </c>
      <c r="BD25" s="8"/>
      <c r="BE25" s="5" t="s">
        <v>86</v>
      </c>
    </row>
    <row r="26" spans="1:57">
      <c r="A26" s="2"/>
      <c r="B26" s="3" t="s">
        <v>345</v>
      </c>
      <c r="C26" s="138"/>
      <c r="D26" s="507" t="s">
        <v>375</v>
      </c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7"/>
      <c r="P26" s="507"/>
      <c r="Q26" s="115" t="s">
        <v>376</v>
      </c>
      <c r="R26" s="118">
        <f t="shared" si="40"/>
        <v>0</v>
      </c>
      <c r="S26" s="118">
        <f t="shared" si="40"/>
        <v>0</v>
      </c>
      <c r="T26" s="118">
        <f t="shared" si="40"/>
        <v>0</v>
      </c>
      <c r="U26" s="118">
        <f t="shared" si="40"/>
        <v>0</v>
      </c>
      <c r="V26" s="118">
        <f t="shared" si="40"/>
        <v>0</v>
      </c>
      <c r="W26" s="118">
        <f t="shared" si="40"/>
        <v>0</v>
      </c>
      <c r="X26" s="118">
        <f t="shared" si="40"/>
        <v>0</v>
      </c>
      <c r="Y26" s="118">
        <f t="shared" si="40"/>
        <v>0</v>
      </c>
      <c r="Z26" s="118">
        <f t="shared" si="40"/>
        <v>0</v>
      </c>
      <c r="AA26" s="118">
        <f t="shared" si="40"/>
        <v>0</v>
      </c>
      <c r="AB26" s="118">
        <f t="shared" si="40"/>
        <v>0</v>
      </c>
      <c r="AC26" s="118">
        <f t="shared" si="40"/>
        <v>0</v>
      </c>
      <c r="AD26" s="119"/>
      <c r="AE26" s="116">
        <f t="shared" si="41"/>
        <v>0</v>
      </c>
      <c r="AF26" s="116">
        <f t="shared" si="41"/>
        <v>0</v>
      </c>
      <c r="AG26" s="116">
        <f t="shared" si="41"/>
        <v>0</v>
      </c>
      <c r="AH26" s="116">
        <f t="shared" si="41"/>
        <v>0</v>
      </c>
      <c r="AI26" s="116">
        <f t="shared" si="41"/>
        <v>0</v>
      </c>
      <c r="AJ26" s="116">
        <f t="shared" si="41"/>
        <v>0</v>
      </c>
      <c r="AK26" s="116">
        <f t="shared" si="41"/>
        <v>0</v>
      </c>
      <c r="AL26" s="116">
        <f t="shared" si="41"/>
        <v>0</v>
      </c>
      <c r="AM26" s="116">
        <f t="shared" si="36"/>
        <v>0</v>
      </c>
      <c r="AN26" s="116">
        <f t="shared" si="36"/>
        <v>0</v>
      </c>
      <c r="AO26" s="116">
        <f t="shared" si="36"/>
        <v>0</v>
      </c>
      <c r="AP26" s="116">
        <f t="shared" si="36"/>
        <v>0</v>
      </c>
      <c r="AQ26" s="117">
        <f t="shared" si="19"/>
        <v>0</v>
      </c>
      <c r="AR26" s="118">
        <f t="shared" si="42"/>
        <v>0</v>
      </c>
      <c r="AS26" s="118">
        <f t="shared" si="42"/>
        <v>0</v>
      </c>
      <c r="AT26" s="118">
        <f t="shared" si="42"/>
        <v>0</v>
      </c>
      <c r="AU26" s="118">
        <f t="shared" si="42"/>
        <v>0</v>
      </c>
      <c r="AV26" s="118">
        <f t="shared" si="42"/>
        <v>0</v>
      </c>
      <c r="AW26" s="118">
        <f t="shared" si="42"/>
        <v>0</v>
      </c>
      <c r="AX26" s="118">
        <f t="shared" si="42"/>
        <v>0</v>
      </c>
      <c r="AY26" s="118">
        <f t="shared" si="42"/>
        <v>0</v>
      </c>
      <c r="AZ26" s="118">
        <f t="shared" si="42"/>
        <v>0</v>
      </c>
      <c r="BA26" s="118">
        <f t="shared" si="42"/>
        <v>0</v>
      </c>
      <c r="BB26" s="118">
        <f t="shared" si="42"/>
        <v>0</v>
      </c>
      <c r="BC26" s="118">
        <f t="shared" si="42"/>
        <v>0</v>
      </c>
      <c r="BD26" s="8"/>
      <c r="BE26" s="5" t="s">
        <v>86</v>
      </c>
    </row>
    <row r="27" spans="1:57">
      <c r="A27" s="2"/>
      <c r="B27" s="3" t="s">
        <v>349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10"/>
      <c r="AB27" s="12">
        <f>ROUND($AA27*AB$31,2)</f>
        <v>0</v>
      </c>
      <c r="AC27" s="6"/>
      <c r="AD27" s="2"/>
      <c r="AE27" s="2"/>
      <c r="AF27" s="7"/>
      <c r="AG27" s="13">
        <f>ROUND($AC27*AG$31,2)</f>
        <v>0</v>
      </c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11">
        <f>AC27/C$12*C$13*AS$31</f>
        <v>0</v>
      </c>
      <c r="AT27" s="11">
        <f>SUBTOTAL(9,AR27:AS27)/C$11*C$14</f>
        <v>0</v>
      </c>
      <c r="AU27" s="8"/>
      <c r="AV27" s="8"/>
      <c r="AW27" s="12">
        <f>ROUND(SUM($AR27:$AT27)*AW$31,2)</f>
        <v>0</v>
      </c>
      <c r="AX27" s="8"/>
      <c r="AY27" s="8"/>
      <c r="AZ27" s="11">
        <f>AZ$31-AY28</f>
        <v>0</v>
      </c>
      <c r="BA27" s="11">
        <f>AZ$30-AY27</f>
        <v>0</v>
      </c>
      <c r="BB27" s="8"/>
      <c r="BC27" s="5"/>
      <c r="BD27" s="5"/>
      <c r="BE27" s="5" t="s">
        <v>86</v>
      </c>
    </row>
    <row r="28" spans="1:57">
      <c r="A28" s="2" t="s">
        <v>65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8"/>
      <c r="AB28" s="3"/>
      <c r="AC28" s="2"/>
      <c r="AD28" s="2"/>
      <c r="AE28" s="2"/>
      <c r="AF28" s="7"/>
      <c r="AG28" s="2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1">
        <f>AZ$32-AY28</f>
        <v>0</v>
      </c>
      <c r="BA28" s="8"/>
      <c r="BB28" s="8"/>
      <c r="BC28" s="8"/>
      <c r="BD28" s="8"/>
      <c r="BE28" s="5" t="s">
        <v>86</v>
      </c>
    </row>
    <row r="29" spans="1:57">
      <c r="A29" s="523" t="s">
        <v>552</v>
      </c>
      <c r="B29" s="517" t="s">
        <v>66</v>
      </c>
      <c r="C29" s="526" t="s">
        <v>452</v>
      </c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8"/>
      <c r="O29" s="526" t="s">
        <v>453</v>
      </c>
      <c r="P29" s="527"/>
      <c r="Q29" s="527"/>
      <c r="R29" s="527"/>
      <c r="S29" s="527"/>
      <c r="T29" s="527"/>
      <c r="U29" s="527"/>
      <c r="V29" s="527"/>
      <c r="W29" s="527"/>
      <c r="X29" s="527"/>
      <c r="Y29" s="527"/>
      <c r="Z29" s="528"/>
      <c r="AA29" s="517" t="s">
        <v>67</v>
      </c>
      <c r="AB29" s="515" t="s">
        <v>68</v>
      </c>
      <c r="AC29" s="517" t="s">
        <v>69</v>
      </c>
      <c r="AD29" s="520" t="s">
        <v>220</v>
      </c>
      <c r="AE29" s="520"/>
      <c r="AF29" s="520"/>
      <c r="AG29" s="520"/>
      <c r="AH29" s="520"/>
      <c r="AI29" s="520"/>
      <c r="AJ29" s="520"/>
      <c r="AK29" s="520"/>
      <c r="AL29" s="520"/>
      <c r="AM29" s="520"/>
      <c r="AN29" s="520"/>
      <c r="AO29" s="520"/>
      <c r="AP29" s="496" t="s">
        <v>74</v>
      </c>
      <c r="AQ29" s="496"/>
      <c r="AR29" s="496"/>
      <c r="AS29" s="496" t="s">
        <v>75</v>
      </c>
      <c r="AT29" s="496"/>
      <c r="AU29" s="496"/>
      <c r="AV29" s="496"/>
      <c r="AW29" s="496"/>
      <c r="AX29" s="496"/>
      <c r="AY29" s="517" t="s">
        <v>76</v>
      </c>
      <c r="AZ29" s="496" t="s">
        <v>77</v>
      </c>
      <c r="BA29" s="496"/>
      <c r="BB29" s="517" t="s">
        <v>217</v>
      </c>
      <c r="BC29" s="517" t="s">
        <v>78</v>
      </c>
      <c r="BD29" s="517" t="s">
        <v>218</v>
      </c>
      <c r="BE29" s="5" t="s">
        <v>86</v>
      </c>
    </row>
    <row r="30" spans="1:57" ht="27.6">
      <c r="A30" s="524"/>
      <c r="B30" s="518"/>
      <c r="C30" s="517" t="s">
        <v>164</v>
      </c>
      <c r="D30" s="526" t="s">
        <v>630</v>
      </c>
      <c r="E30" s="527"/>
      <c r="F30" s="527"/>
      <c r="G30" s="527"/>
      <c r="H30" s="527"/>
      <c r="I30" s="527"/>
      <c r="J30" s="527"/>
      <c r="K30" s="527"/>
      <c r="L30" s="527"/>
      <c r="M30" s="527"/>
      <c r="N30" s="528"/>
      <c r="O30" s="517" t="s">
        <v>164</v>
      </c>
      <c r="P30" s="526" t="str">
        <f>D30</f>
        <v>из них (по видам госуслуг, СДУ, платные), единиц - наименования услуг скопируйте из листа "ПЛАН", АУСО - из 13 строки, СиД - из 17 строки. Последовательность перечисления услуг менять нельзя</v>
      </c>
      <c r="Q30" s="527"/>
      <c r="R30" s="527"/>
      <c r="S30" s="527"/>
      <c r="T30" s="527"/>
      <c r="U30" s="527"/>
      <c r="V30" s="527"/>
      <c r="W30" s="527"/>
      <c r="X30" s="527"/>
      <c r="Y30" s="527"/>
      <c r="Z30" s="528"/>
      <c r="AA30" s="518"/>
      <c r="AB30" s="516"/>
      <c r="AC30" s="518"/>
      <c r="AD30" s="526" t="s">
        <v>70</v>
      </c>
      <c r="AE30" s="527"/>
      <c r="AF30" s="527"/>
      <c r="AG30" s="527"/>
      <c r="AH30" s="528"/>
      <c r="AI30" s="526" t="s">
        <v>71</v>
      </c>
      <c r="AJ30" s="528"/>
      <c r="AK30" s="526" t="s">
        <v>72</v>
      </c>
      <c r="AL30" s="528"/>
      <c r="AM30" s="526" t="s">
        <v>73</v>
      </c>
      <c r="AN30" s="527"/>
      <c r="AO30" s="528"/>
      <c r="AP30" s="496" t="s">
        <v>79</v>
      </c>
      <c r="AQ30" s="15" t="s">
        <v>80</v>
      </c>
      <c r="AR30" s="496" t="s">
        <v>553</v>
      </c>
      <c r="AS30" s="14" t="s">
        <v>81</v>
      </c>
      <c r="AT30" s="496" t="s">
        <v>82</v>
      </c>
      <c r="AU30" s="496" t="s">
        <v>83</v>
      </c>
      <c r="AV30" s="496"/>
      <c r="AW30" s="496"/>
      <c r="AX30" s="496"/>
      <c r="AY30" s="518"/>
      <c r="AZ30" s="16"/>
      <c r="BA30" s="496" t="s">
        <v>84</v>
      </c>
      <c r="BB30" s="518"/>
      <c r="BC30" s="519"/>
      <c r="BD30" s="518"/>
      <c r="BE30" s="5" t="s">
        <v>86</v>
      </c>
    </row>
    <row r="31" spans="1:57" ht="204" customHeight="1">
      <c r="A31" s="525"/>
      <c r="B31" s="519"/>
      <c r="C31" s="519"/>
      <c r="D31" s="171" t="s">
        <v>224</v>
      </c>
      <c r="E31" s="279" t="s">
        <v>557</v>
      </c>
      <c r="F31" s="279" t="s">
        <v>490</v>
      </c>
      <c r="G31" s="279" t="s">
        <v>556</v>
      </c>
      <c r="H31" s="279" t="s">
        <v>491</v>
      </c>
      <c r="I31" s="279" t="s">
        <v>492</v>
      </c>
      <c r="J31" s="279" t="s">
        <v>534</v>
      </c>
      <c r="K31" s="279" t="s">
        <v>493</v>
      </c>
      <c r="L31" s="279" t="s">
        <v>200</v>
      </c>
      <c r="M31" s="279" t="s">
        <v>201</v>
      </c>
      <c r="N31" s="172"/>
      <c r="O31" s="519"/>
      <c r="P31" s="92" t="str">
        <f>D31</f>
        <v>АУП и вспомогательный персонал</v>
      </c>
      <c r="Q31" s="92" t="str">
        <f t="shared" ref="Q31:Z31" si="43">E31</f>
        <v xml:space="preserve">Предоставление соцобсл в стац форме </v>
      </c>
      <c r="R31" s="92" t="str">
        <f t="shared" si="43"/>
        <v>Предоставление соцобсл в стац форме гражданам при отсутствии возможности обеспечения ухода (в том числе временного) за инвалидом, ребенком, детьми, а также отсутствие попечения над ними (СВЕТЛЫЙ)</v>
      </c>
      <c r="S31" s="92" t="str">
        <f t="shared" si="43"/>
        <v>Предоставление социального обслуживания в полустационарной форме (ОДП Доверие)</v>
      </c>
      <c r="T31" s="92" t="str">
        <f t="shared" si="43"/>
        <v>Предоставление соцобсл в полустац форме гражданам при отсутствии определенного места жительства (ШАНС)</v>
      </c>
      <c r="U31" s="92" t="str">
        <f t="shared" si="43"/>
        <v>Предоставление соцобсл в полустац форме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V31" s="92" t="str">
        <f t="shared" si="43"/>
        <v>Предоставление соцобсл в форме на дому гражданам частично утратившим способность к самообслуживанию (ПЛАТНО и БЕСПЛАТНО)</v>
      </c>
      <c r="W31" s="92" t="str">
        <f t="shared" si="43"/>
        <v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X31" s="92" t="str">
        <f t="shared" si="43"/>
        <v>Реализация основных профессиональных образовательных программ профессионального обучения</v>
      </c>
      <c r="Y31" s="92" t="str">
        <f t="shared" si="43"/>
        <v>Работа по методическому сопровождению деятельности учреждений социального обслуживания при апробации методик и технологий в социальном обслуживании граждан</v>
      </c>
      <c r="Z31" s="92">
        <f t="shared" si="43"/>
        <v>0</v>
      </c>
      <c r="AA31" s="519"/>
      <c r="AB31" s="17">
        <v>0.25</v>
      </c>
      <c r="AC31" s="519"/>
      <c r="AD31" s="18">
        <v>0.05</v>
      </c>
      <c r="AE31" s="18">
        <v>0.1</v>
      </c>
      <c r="AF31" s="19">
        <v>0.15</v>
      </c>
      <c r="AG31" s="18">
        <v>0.2</v>
      </c>
      <c r="AH31" s="18">
        <v>0.3</v>
      </c>
      <c r="AI31" s="18">
        <v>0.1</v>
      </c>
      <c r="AJ31" s="18">
        <v>0.25</v>
      </c>
      <c r="AK31" s="18">
        <v>0.1</v>
      </c>
      <c r="AL31" s="18">
        <v>0.2</v>
      </c>
      <c r="AM31" s="18">
        <v>0.1</v>
      </c>
      <c r="AN31" s="18">
        <v>0.2</v>
      </c>
      <c r="AO31" s="18">
        <v>0.3</v>
      </c>
      <c r="AP31" s="496"/>
      <c r="AQ31" s="113">
        <f>(13890*5+15279*7)/12</f>
        <v>14700.25</v>
      </c>
      <c r="AR31" s="496"/>
      <c r="AS31" s="18">
        <v>0.2</v>
      </c>
      <c r="AT31" s="496"/>
      <c r="AU31" s="173">
        <v>0.04</v>
      </c>
      <c r="AV31" s="173">
        <v>0.08</v>
      </c>
      <c r="AW31" s="173">
        <v>0.12</v>
      </c>
      <c r="AX31" s="173">
        <v>0.15</v>
      </c>
      <c r="AY31" s="519"/>
      <c r="AZ31" s="16"/>
      <c r="BA31" s="496"/>
      <c r="BB31" s="519"/>
      <c r="BC31" s="20">
        <v>0.5</v>
      </c>
      <c r="BD31" s="519"/>
      <c r="BE31" s="5" t="s">
        <v>86</v>
      </c>
    </row>
    <row r="32" spans="1:57">
      <c r="A32" s="92" t="s">
        <v>85</v>
      </c>
      <c r="B32" s="92">
        <v>1</v>
      </c>
      <c r="C32" s="92">
        <v>2</v>
      </c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>
        <v>3</v>
      </c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>
        <v>4</v>
      </c>
      <c r="AB32" s="92">
        <v>5</v>
      </c>
      <c r="AC32" s="92">
        <v>6</v>
      </c>
      <c r="AD32" s="92">
        <v>7</v>
      </c>
      <c r="AE32" s="92">
        <v>8</v>
      </c>
      <c r="AF32" s="21">
        <v>9</v>
      </c>
      <c r="AG32" s="92">
        <v>10</v>
      </c>
      <c r="AH32" s="92">
        <v>11</v>
      </c>
      <c r="AI32" s="92">
        <v>12</v>
      </c>
      <c r="AJ32" s="92">
        <v>13</v>
      </c>
      <c r="AK32" s="92">
        <v>14</v>
      </c>
      <c r="AL32" s="92">
        <v>15</v>
      </c>
      <c r="AM32" s="92">
        <v>16</v>
      </c>
      <c r="AN32" s="92">
        <v>17</v>
      </c>
      <c r="AO32" s="92">
        <v>18</v>
      </c>
      <c r="AP32" s="92">
        <v>19</v>
      </c>
      <c r="AQ32" s="92">
        <v>20</v>
      </c>
      <c r="AR32" s="92">
        <v>21</v>
      </c>
      <c r="AS32" s="92">
        <v>22</v>
      </c>
      <c r="AT32" s="92">
        <v>23</v>
      </c>
      <c r="AU32" s="92">
        <v>24</v>
      </c>
      <c r="AV32" s="92">
        <v>25</v>
      </c>
      <c r="AW32" s="92">
        <v>26</v>
      </c>
      <c r="AX32" s="92">
        <v>27</v>
      </c>
      <c r="AY32" s="92">
        <v>28</v>
      </c>
      <c r="AZ32" s="16"/>
      <c r="BA32" s="92">
        <v>30</v>
      </c>
      <c r="BB32" s="92">
        <v>31</v>
      </c>
      <c r="BC32" s="92">
        <v>32</v>
      </c>
      <c r="BD32" s="92">
        <v>33</v>
      </c>
      <c r="BE32" s="5" t="s">
        <v>86</v>
      </c>
    </row>
    <row r="33" spans="1:57">
      <c r="A33" s="282"/>
      <c r="B33" s="283" t="s">
        <v>631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5"/>
      <c r="AB33" s="12"/>
      <c r="AC33" s="13"/>
      <c r="AD33" s="13"/>
      <c r="AE33" s="26"/>
      <c r="AF33" s="27"/>
      <c r="AG33" s="26"/>
      <c r="AH33" s="28"/>
      <c r="AI33" s="28"/>
      <c r="AJ33" s="28"/>
      <c r="AK33" s="28"/>
      <c r="AL33" s="28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5" t="s">
        <v>86</v>
      </c>
    </row>
    <row r="34" spans="1:57">
      <c r="A34" s="282"/>
      <c r="B34" s="283" t="s">
        <v>632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5"/>
      <c r="AB34" s="12"/>
      <c r="AC34" s="13"/>
      <c r="AD34" s="13"/>
      <c r="AE34" s="26"/>
      <c r="AF34" s="27"/>
      <c r="AG34" s="26"/>
      <c r="AH34" s="28"/>
      <c r="AI34" s="28"/>
      <c r="AJ34" s="28"/>
      <c r="AK34" s="28"/>
      <c r="AL34" s="28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5" t="s">
        <v>86</v>
      </c>
    </row>
    <row r="35" spans="1:57">
      <c r="A35" s="14" t="s">
        <v>32</v>
      </c>
      <c r="B35" s="284" t="s">
        <v>633</v>
      </c>
      <c r="C35" s="24">
        <f>SUM(D35:N35)</f>
        <v>1</v>
      </c>
      <c r="D35" s="24">
        <v>1</v>
      </c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>
        <f t="shared" ref="O35:O65" si="44">SUM(P35:Z35)</f>
        <v>1</v>
      </c>
      <c r="P35" s="24">
        <v>1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5">
        <v>70000</v>
      </c>
      <c r="AB35" s="12"/>
      <c r="AC35" s="13">
        <f>SUM(AA35:AB35)</f>
        <v>70000</v>
      </c>
      <c r="AD35" s="13"/>
      <c r="AE35" s="26"/>
      <c r="AF35" s="27"/>
      <c r="AG35" s="26"/>
      <c r="AH35" s="28"/>
      <c r="AI35" s="28"/>
      <c r="AJ35" s="28"/>
      <c r="AK35" s="28"/>
      <c r="AL35" s="28"/>
      <c r="AM35" s="11"/>
      <c r="AN35" s="11"/>
      <c r="AO35" s="11"/>
      <c r="AP35" s="11">
        <f t="shared" ref="AP35:AP97" si="45">SUBTOTAL(9,AC35:AO35)</f>
        <v>70000</v>
      </c>
      <c r="AQ35" s="11">
        <f t="shared" ref="AQ35:AQ97" si="46">IF(AP35&gt;AQ$31,0,AQ$31-AP35)</f>
        <v>0</v>
      </c>
      <c r="AR35" s="11">
        <f>AP35+AQ35</f>
        <v>70000</v>
      </c>
      <c r="AS35" s="11"/>
      <c r="AT35" s="11"/>
      <c r="AU35" s="11"/>
      <c r="AV35" s="11"/>
      <c r="AW35" s="11"/>
      <c r="AX35" s="11"/>
      <c r="AY35" s="11">
        <f>SUBTOTAL(9,AR35:AX35)</f>
        <v>70000</v>
      </c>
      <c r="AZ35" s="11"/>
      <c r="BA35" s="11">
        <f t="shared" ref="BA35:BA97" si="47">AY35+AZ35</f>
        <v>70000</v>
      </c>
      <c r="BB35" s="11">
        <v>0</v>
      </c>
      <c r="BC35" s="11">
        <f t="shared" ref="BC35:BC97" si="48">SUM(BA35:BB35)*(1+BC$31)</f>
        <v>105000</v>
      </c>
      <c r="BD35" s="11">
        <f t="shared" ref="BD35:BD97" si="49">C35*BC35*12</f>
        <v>1260000</v>
      </c>
      <c r="BE35" s="5" t="s">
        <v>86</v>
      </c>
    </row>
    <row r="36" spans="1:57">
      <c r="A36" s="14" t="s">
        <v>34</v>
      </c>
      <c r="B36" s="22" t="s">
        <v>634</v>
      </c>
      <c r="C36" s="24">
        <f>SUM(D36:N36)</f>
        <v>1</v>
      </c>
      <c r="D36" s="24">
        <v>1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>
        <f t="shared" si="44"/>
        <v>1</v>
      </c>
      <c r="P36" s="24">
        <v>1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5">
        <v>63000</v>
      </c>
      <c r="AB36" s="12"/>
      <c r="AC36" s="13">
        <f>SUM(AA36:AB36)</f>
        <v>63000</v>
      </c>
      <c r="AD36" s="13"/>
      <c r="AE36" s="26"/>
      <c r="AF36" s="27"/>
      <c r="AG36" s="26"/>
      <c r="AH36" s="28"/>
      <c r="AI36" s="28"/>
      <c r="AJ36" s="28"/>
      <c r="AK36" s="28"/>
      <c r="AL36" s="28"/>
      <c r="AM36" s="11"/>
      <c r="AN36" s="11"/>
      <c r="AO36" s="11"/>
      <c r="AP36" s="11">
        <f t="shared" si="45"/>
        <v>63000</v>
      </c>
      <c r="AQ36" s="11">
        <f t="shared" si="46"/>
        <v>0</v>
      </c>
      <c r="AR36" s="11">
        <f>AP36+AQ36</f>
        <v>63000</v>
      </c>
      <c r="AS36" s="11"/>
      <c r="AT36" s="11"/>
      <c r="AU36" s="11"/>
      <c r="AV36" s="11"/>
      <c r="AW36" s="11"/>
      <c r="AX36" s="11"/>
      <c r="AY36" s="11">
        <f t="shared" ref="AY36:AY162" si="50">SUBTOTAL(9,AR36:AX36)</f>
        <v>63000</v>
      </c>
      <c r="AZ36" s="11"/>
      <c r="BA36" s="11">
        <f t="shared" si="47"/>
        <v>63000</v>
      </c>
      <c r="BB36" s="11">
        <v>0</v>
      </c>
      <c r="BC36" s="11">
        <f t="shared" si="48"/>
        <v>94500</v>
      </c>
      <c r="BD36" s="11">
        <f t="shared" si="49"/>
        <v>1134000</v>
      </c>
      <c r="BE36" s="5" t="s">
        <v>86</v>
      </c>
    </row>
    <row r="37" spans="1:57">
      <c r="A37" s="14"/>
      <c r="B37" s="283" t="s">
        <v>635</v>
      </c>
      <c r="C37" s="24">
        <f t="shared" ref="C37:C62" si="51">SUM(D37:N37)</f>
        <v>0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>
        <f t="shared" si="44"/>
        <v>0</v>
      </c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5"/>
      <c r="AB37" s="12"/>
      <c r="AC37" s="13">
        <f t="shared" ref="AC37:AC163" si="52">SUM(AA37:AB37)</f>
        <v>0</v>
      </c>
      <c r="AD37" s="13"/>
      <c r="AE37" s="26"/>
      <c r="AF37" s="27"/>
      <c r="AG37" s="26"/>
      <c r="AH37" s="28"/>
      <c r="AI37" s="28"/>
      <c r="AJ37" s="28"/>
      <c r="AK37" s="28"/>
      <c r="AL37" s="28"/>
      <c r="AM37" s="11"/>
      <c r="AN37" s="11"/>
      <c r="AO37" s="11"/>
      <c r="AP37" s="11">
        <f t="shared" si="45"/>
        <v>0</v>
      </c>
      <c r="AQ37" s="11">
        <f t="shared" si="46"/>
        <v>14700.25</v>
      </c>
      <c r="AR37" s="11">
        <f t="shared" ref="AR37:AR163" si="53">AP37+AQ37</f>
        <v>14700.25</v>
      </c>
      <c r="AS37" s="11"/>
      <c r="AT37" s="11"/>
      <c r="AU37" s="11"/>
      <c r="AV37" s="11"/>
      <c r="AW37" s="12"/>
      <c r="AX37" s="11"/>
      <c r="AY37" s="11">
        <f t="shared" si="50"/>
        <v>14700.25</v>
      </c>
      <c r="AZ37" s="11"/>
      <c r="BA37" s="11">
        <f t="shared" si="47"/>
        <v>14700.25</v>
      </c>
      <c r="BB37" s="11">
        <f t="shared" ref="BB37:BB97" si="54">IFERROR(LOOKUP(A37,Q$6:Q$26,AQ$6:AQ$26)-BA37,0)</f>
        <v>0</v>
      </c>
      <c r="BC37" s="11">
        <f t="shared" si="48"/>
        <v>22050.375</v>
      </c>
      <c r="BD37" s="11">
        <f t="shared" si="49"/>
        <v>0</v>
      </c>
      <c r="BE37" s="5" t="s">
        <v>86</v>
      </c>
    </row>
    <row r="38" spans="1:57">
      <c r="A38" s="14" t="s">
        <v>56</v>
      </c>
      <c r="B38" s="284" t="s">
        <v>636</v>
      </c>
      <c r="C38" s="24">
        <f t="shared" si="51"/>
        <v>1</v>
      </c>
      <c r="D38" s="24">
        <v>1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>
        <f t="shared" si="44"/>
        <v>1</v>
      </c>
      <c r="P38" s="24">
        <v>1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5">
        <v>13736</v>
      </c>
      <c r="AB38" s="12"/>
      <c r="AC38" s="13">
        <f t="shared" si="52"/>
        <v>13736</v>
      </c>
      <c r="AD38" s="13">
        <f>AC38*AD31</f>
        <v>686.80000000000007</v>
      </c>
      <c r="AE38" s="26"/>
      <c r="AF38" s="13"/>
      <c r="AG38" s="26"/>
      <c r="AH38" s="28"/>
      <c r="AI38" s="28"/>
      <c r="AJ38" s="28"/>
      <c r="AK38" s="28"/>
      <c r="AL38" s="28"/>
      <c r="AM38" s="11"/>
      <c r="AN38" s="11"/>
      <c r="AO38" s="11"/>
      <c r="AP38" s="11">
        <f t="shared" si="45"/>
        <v>14422.8</v>
      </c>
      <c r="AQ38" s="11">
        <f t="shared" si="46"/>
        <v>277.45000000000073</v>
      </c>
      <c r="AR38" s="11">
        <f t="shared" si="53"/>
        <v>14700.25</v>
      </c>
      <c r="AS38" s="11"/>
      <c r="AT38" s="11"/>
      <c r="AU38" s="11"/>
      <c r="AV38" s="11"/>
      <c r="AW38" s="12"/>
      <c r="AX38" s="11"/>
      <c r="AY38" s="11">
        <f t="shared" si="50"/>
        <v>14700.25</v>
      </c>
      <c r="AZ38" s="11"/>
      <c r="BA38" s="11">
        <f t="shared" si="47"/>
        <v>14700.25</v>
      </c>
      <c r="BB38" s="11">
        <f>IFERROR(LOOKUP(A38,Q$6:Q$26,AQ$6:AQ$26)-BA38,0)</f>
        <v>14113.75</v>
      </c>
      <c r="BC38" s="11">
        <f t="shared" si="48"/>
        <v>43221</v>
      </c>
      <c r="BD38" s="11">
        <f t="shared" si="49"/>
        <v>518652</v>
      </c>
      <c r="BE38" s="5" t="s">
        <v>86</v>
      </c>
    </row>
    <row r="39" spans="1:57">
      <c r="A39" s="285" t="s">
        <v>56</v>
      </c>
      <c r="B39" s="286" t="s">
        <v>637</v>
      </c>
      <c r="C39" s="24">
        <f t="shared" si="51"/>
        <v>1</v>
      </c>
      <c r="D39" s="24">
        <v>1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>
        <f t="shared" si="44"/>
        <v>1</v>
      </c>
      <c r="P39" s="24">
        <v>1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5">
        <v>9630</v>
      </c>
      <c r="AB39" s="12"/>
      <c r="AC39" s="13">
        <f t="shared" si="52"/>
        <v>9630</v>
      </c>
      <c r="AD39" s="13">
        <f>AC39*AD31</f>
        <v>481.5</v>
      </c>
      <c r="AE39" s="13"/>
      <c r="AF39" s="27"/>
      <c r="AG39" s="13"/>
      <c r="AH39" s="28"/>
      <c r="AI39" s="28"/>
      <c r="AJ39" s="28"/>
      <c r="AK39" s="13"/>
      <c r="AL39" s="28"/>
      <c r="AM39" s="13"/>
      <c r="AN39" s="11"/>
      <c r="AO39" s="11"/>
      <c r="AP39" s="11">
        <f t="shared" si="45"/>
        <v>10111.5</v>
      </c>
      <c r="AQ39" s="11">
        <f t="shared" si="46"/>
        <v>4588.75</v>
      </c>
      <c r="AR39" s="11">
        <f t="shared" si="53"/>
        <v>14700.25</v>
      </c>
      <c r="AS39" s="11"/>
      <c r="AT39" s="11"/>
      <c r="AU39" s="11"/>
      <c r="AV39" s="11"/>
      <c r="AW39" s="12"/>
      <c r="AX39" s="11"/>
      <c r="AY39" s="11">
        <f t="shared" si="50"/>
        <v>14700.25</v>
      </c>
      <c r="AZ39" s="11"/>
      <c r="BA39" s="11">
        <f t="shared" si="47"/>
        <v>14700.25</v>
      </c>
      <c r="BB39" s="11">
        <f t="shared" si="54"/>
        <v>14113.75</v>
      </c>
      <c r="BC39" s="11">
        <f t="shared" si="48"/>
        <v>43221</v>
      </c>
      <c r="BD39" s="11">
        <f t="shared" si="49"/>
        <v>518652</v>
      </c>
      <c r="BE39" s="5" t="s">
        <v>86</v>
      </c>
    </row>
    <row r="40" spans="1:57">
      <c r="A40" s="285"/>
      <c r="B40" s="283" t="s">
        <v>638</v>
      </c>
      <c r="C40" s="24">
        <f t="shared" si="51"/>
        <v>0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>
        <f t="shared" si="44"/>
        <v>0</v>
      </c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5"/>
      <c r="AB40" s="12"/>
      <c r="AC40" s="13">
        <f t="shared" si="52"/>
        <v>0</v>
      </c>
      <c r="AD40" s="13"/>
      <c r="AE40" s="13"/>
      <c r="AF40" s="27"/>
      <c r="AG40" s="26"/>
      <c r="AH40" s="13"/>
      <c r="AI40" s="28"/>
      <c r="AJ40" s="28"/>
      <c r="AK40" s="28"/>
      <c r="AL40" s="28"/>
      <c r="AM40" s="11"/>
      <c r="AN40" s="13"/>
      <c r="AO40" s="11"/>
      <c r="AP40" s="11">
        <f t="shared" si="45"/>
        <v>0</v>
      </c>
      <c r="AQ40" s="11">
        <f t="shared" si="46"/>
        <v>14700.25</v>
      </c>
      <c r="AR40" s="11">
        <f t="shared" si="53"/>
        <v>14700.25</v>
      </c>
      <c r="AS40" s="11"/>
      <c r="AT40" s="11"/>
      <c r="AU40" s="12"/>
      <c r="AV40" s="11"/>
      <c r="AW40" s="12"/>
      <c r="AX40" s="11"/>
      <c r="AY40" s="11">
        <f t="shared" si="50"/>
        <v>14700.25</v>
      </c>
      <c r="AZ40" s="11"/>
      <c r="BA40" s="11">
        <f t="shared" si="47"/>
        <v>14700.25</v>
      </c>
      <c r="BB40" s="11">
        <f t="shared" si="54"/>
        <v>0</v>
      </c>
      <c r="BC40" s="11">
        <f t="shared" si="48"/>
        <v>22050.375</v>
      </c>
      <c r="BD40" s="11">
        <f t="shared" si="49"/>
        <v>0</v>
      </c>
      <c r="BE40" s="5" t="s">
        <v>86</v>
      </c>
    </row>
    <row r="41" spans="1:57">
      <c r="A41" s="285" t="s">
        <v>56</v>
      </c>
      <c r="B41" s="284" t="s">
        <v>639</v>
      </c>
      <c r="C41" s="24">
        <f t="shared" si="51"/>
        <v>0.5</v>
      </c>
      <c r="D41" s="24">
        <v>0.5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>
        <f t="shared" si="44"/>
        <v>1</v>
      </c>
      <c r="P41" s="24">
        <v>1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5">
        <v>13736</v>
      </c>
      <c r="AB41" s="12"/>
      <c r="AC41" s="13">
        <f t="shared" si="52"/>
        <v>13736</v>
      </c>
      <c r="AD41" s="13">
        <f>AC41*AD31</f>
        <v>686.80000000000007</v>
      </c>
      <c r="AE41" s="13"/>
      <c r="AF41" s="27"/>
      <c r="AG41" s="13"/>
      <c r="AH41" s="28"/>
      <c r="AI41" s="28"/>
      <c r="AJ41" s="28"/>
      <c r="AK41" s="28"/>
      <c r="AL41" s="13"/>
      <c r="AM41" s="11"/>
      <c r="AN41" s="11"/>
      <c r="AO41" s="13"/>
      <c r="AP41" s="11">
        <f t="shared" si="45"/>
        <v>14422.8</v>
      </c>
      <c r="AQ41" s="11">
        <f t="shared" si="46"/>
        <v>277.45000000000073</v>
      </c>
      <c r="AR41" s="11">
        <f t="shared" si="53"/>
        <v>14700.25</v>
      </c>
      <c r="AS41" s="11"/>
      <c r="AT41" s="11"/>
      <c r="AU41" s="12"/>
      <c r="AV41" s="11"/>
      <c r="AW41" s="11"/>
      <c r="AX41" s="11"/>
      <c r="AY41" s="11">
        <f t="shared" si="50"/>
        <v>14700.25</v>
      </c>
      <c r="AZ41" s="11"/>
      <c r="BA41" s="11">
        <f t="shared" si="47"/>
        <v>14700.25</v>
      </c>
      <c r="BB41" s="11">
        <f t="shared" si="54"/>
        <v>14113.75</v>
      </c>
      <c r="BC41" s="11">
        <f t="shared" si="48"/>
        <v>43221</v>
      </c>
      <c r="BD41" s="11">
        <f t="shared" si="49"/>
        <v>259326</v>
      </c>
      <c r="BE41" s="5" t="s">
        <v>86</v>
      </c>
    </row>
    <row r="42" spans="1:57">
      <c r="A42" s="14" t="s">
        <v>56</v>
      </c>
      <c r="B42" s="284" t="s">
        <v>640</v>
      </c>
      <c r="C42" s="24">
        <f t="shared" si="51"/>
        <v>1</v>
      </c>
      <c r="D42" s="24">
        <v>1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>
        <f t="shared" si="44"/>
        <v>1</v>
      </c>
      <c r="P42" s="24">
        <v>1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5">
        <v>13736</v>
      </c>
      <c r="AB42" s="12"/>
      <c r="AC42" s="13">
        <f t="shared" si="52"/>
        <v>13736</v>
      </c>
      <c r="AD42" s="13">
        <f>AC42*AD31</f>
        <v>686.80000000000007</v>
      </c>
      <c r="AE42" s="13"/>
      <c r="AF42" s="27"/>
      <c r="AG42" s="26"/>
      <c r="AH42" s="28"/>
      <c r="AI42" s="28"/>
      <c r="AJ42" s="28"/>
      <c r="AK42" s="28"/>
      <c r="AL42" s="28"/>
      <c r="AM42" s="11"/>
      <c r="AN42" s="11"/>
      <c r="AO42" s="11"/>
      <c r="AP42" s="11">
        <f t="shared" si="45"/>
        <v>14422.8</v>
      </c>
      <c r="AQ42" s="11">
        <f t="shared" si="46"/>
        <v>277.45000000000073</v>
      </c>
      <c r="AR42" s="11">
        <f t="shared" si="53"/>
        <v>14700.25</v>
      </c>
      <c r="AS42" s="11"/>
      <c r="AT42" s="11"/>
      <c r="AU42" s="12"/>
      <c r="AV42" s="11"/>
      <c r="AW42" s="11"/>
      <c r="AX42" s="11"/>
      <c r="AY42" s="11">
        <f t="shared" si="50"/>
        <v>14700.25</v>
      </c>
      <c r="AZ42" s="11"/>
      <c r="BA42" s="11">
        <f t="shared" si="47"/>
        <v>14700.25</v>
      </c>
      <c r="BB42" s="11">
        <f t="shared" si="54"/>
        <v>14113.75</v>
      </c>
      <c r="BC42" s="11">
        <f t="shared" si="48"/>
        <v>43221</v>
      </c>
      <c r="BD42" s="11">
        <f t="shared" si="49"/>
        <v>518652</v>
      </c>
      <c r="BE42" s="5" t="s">
        <v>86</v>
      </c>
    </row>
    <row r="43" spans="1:57">
      <c r="A43" s="285" t="s">
        <v>56</v>
      </c>
      <c r="B43" s="284" t="s">
        <v>641</v>
      </c>
      <c r="C43" s="24">
        <f t="shared" si="51"/>
        <v>0.5</v>
      </c>
      <c r="D43" s="24">
        <v>0.5</v>
      </c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>
        <f t="shared" si="44"/>
        <v>0.5</v>
      </c>
      <c r="P43" s="24">
        <v>0.5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5">
        <v>13736</v>
      </c>
      <c r="AB43" s="12"/>
      <c r="AC43" s="13">
        <f t="shared" si="52"/>
        <v>13736</v>
      </c>
      <c r="AD43" s="13">
        <f>AC43*AD31</f>
        <v>686.80000000000007</v>
      </c>
      <c r="AE43" s="26"/>
      <c r="AF43" s="13"/>
      <c r="AG43" s="26"/>
      <c r="AH43" s="13"/>
      <c r="AI43" s="28"/>
      <c r="AJ43" s="28"/>
      <c r="AK43" s="28"/>
      <c r="AL43" s="28"/>
      <c r="AM43" s="11"/>
      <c r="AN43" s="11"/>
      <c r="AO43" s="11"/>
      <c r="AP43" s="11">
        <f t="shared" si="45"/>
        <v>14422.8</v>
      </c>
      <c r="AQ43" s="11">
        <f t="shared" si="46"/>
        <v>277.45000000000073</v>
      </c>
      <c r="AR43" s="11">
        <f t="shared" si="53"/>
        <v>14700.25</v>
      </c>
      <c r="AS43" s="11"/>
      <c r="AT43" s="11"/>
      <c r="AU43" s="12"/>
      <c r="AV43" s="11"/>
      <c r="AW43" s="11"/>
      <c r="AX43" s="11"/>
      <c r="AY43" s="11">
        <f t="shared" si="50"/>
        <v>14700.25</v>
      </c>
      <c r="AZ43" s="11"/>
      <c r="BA43" s="11">
        <f t="shared" si="47"/>
        <v>14700.25</v>
      </c>
      <c r="BB43" s="11">
        <f t="shared" si="54"/>
        <v>14113.75</v>
      </c>
      <c r="BC43" s="11">
        <f t="shared" si="48"/>
        <v>43221</v>
      </c>
      <c r="BD43" s="11">
        <f t="shared" si="49"/>
        <v>259326</v>
      </c>
      <c r="BE43" s="5" t="s">
        <v>86</v>
      </c>
    </row>
    <row r="44" spans="1:57" ht="28.8" customHeight="1">
      <c r="A44" s="285" t="s">
        <v>56</v>
      </c>
      <c r="B44" s="287" t="s">
        <v>642</v>
      </c>
      <c r="C44" s="24">
        <f t="shared" si="51"/>
        <v>1</v>
      </c>
      <c r="D44" s="24">
        <v>1</v>
      </c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>
        <f t="shared" si="44"/>
        <v>1</v>
      </c>
      <c r="P44" s="24">
        <v>1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5">
        <v>13736</v>
      </c>
      <c r="AB44" s="12"/>
      <c r="AC44" s="13">
        <f t="shared" si="52"/>
        <v>13736</v>
      </c>
      <c r="AD44" s="13">
        <f>AC44*AD31</f>
        <v>686.80000000000007</v>
      </c>
      <c r="AE44" s="13"/>
      <c r="AF44" s="13"/>
      <c r="AG44" s="26"/>
      <c r="AH44" s="28"/>
      <c r="AI44" s="28"/>
      <c r="AJ44" s="28"/>
      <c r="AK44" s="13"/>
      <c r="AL44" s="28"/>
      <c r="AM44" s="11"/>
      <c r="AN44" s="11"/>
      <c r="AO44" s="11"/>
      <c r="AP44" s="11">
        <f t="shared" si="45"/>
        <v>14422.8</v>
      </c>
      <c r="AQ44" s="11">
        <f t="shared" si="46"/>
        <v>277.45000000000073</v>
      </c>
      <c r="AR44" s="11">
        <f t="shared" si="53"/>
        <v>14700.25</v>
      </c>
      <c r="AS44" s="11"/>
      <c r="AT44" s="11"/>
      <c r="AU44" s="12"/>
      <c r="AV44" s="12"/>
      <c r="AW44" s="11"/>
      <c r="AX44" s="11"/>
      <c r="AY44" s="11">
        <f t="shared" si="50"/>
        <v>14700.25</v>
      </c>
      <c r="AZ44" s="11"/>
      <c r="BA44" s="11">
        <f t="shared" si="47"/>
        <v>14700.25</v>
      </c>
      <c r="BB44" s="11">
        <f t="shared" si="54"/>
        <v>14113.75</v>
      </c>
      <c r="BC44" s="11">
        <f t="shared" si="48"/>
        <v>43221</v>
      </c>
      <c r="BD44" s="11">
        <f t="shared" si="49"/>
        <v>518652</v>
      </c>
      <c r="BE44" s="5" t="s">
        <v>86</v>
      </c>
    </row>
    <row r="45" spans="1:57">
      <c r="A45" s="285"/>
      <c r="B45" s="283" t="s">
        <v>643</v>
      </c>
      <c r="C45" s="24">
        <f t="shared" si="51"/>
        <v>0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>
        <f t="shared" si="44"/>
        <v>0</v>
      </c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5"/>
      <c r="AB45" s="12"/>
      <c r="AC45" s="13">
        <f t="shared" si="52"/>
        <v>0</v>
      </c>
      <c r="AD45" s="13"/>
      <c r="AE45" s="26"/>
      <c r="AF45" s="13"/>
      <c r="AG45" s="13"/>
      <c r="AH45" s="28"/>
      <c r="AI45" s="28"/>
      <c r="AJ45" s="28"/>
      <c r="AK45" s="28"/>
      <c r="AL45" s="28"/>
      <c r="AM45" s="11"/>
      <c r="AN45" s="13"/>
      <c r="AO45" s="11"/>
      <c r="AP45" s="11">
        <f t="shared" si="45"/>
        <v>0</v>
      </c>
      <c r="AQ45" s="11">
        <f t="shared" si="46"/>
        <v>14700.25</v>
      </c>
      <c r="AR45" s="11">
        <f t="shared" si="53"/>
        <v>14700.25</v>
      </c>
      <c r="AS45" s="11"/>
      <c r="AT45" s="11"/>
      <c r="AU45" s="12"/>
      <c r="AV45" s="12"/>
      <c r="AW45" s="11"/>
      <c r="AX45" s="11"/>
      <c r="AY45" s="11">
        <f t="shared" si="50"/>
        <v>14700.25</v>
      </c>
      <c r="AZ45" s="11"/>
      <c r="BA45" s="11">
        <f t="shared" si="47"/>
        <v>14700.25</v>
      </c>
      <c r="BB45" s="11">
        <f t="shared" si="54"/>
        <v>0</v>
      </c>
      <c r="BC45" s="11">
        <f t="shared" si="48"/>
        <v>22050.375</v>
      </c>
      <c r="BD45" s="11">
        <f t="shared" si="49"/>
        <v>0</v>
      </c>
      <c r="BE45" s="5" t="s">
        <v>86</v>
      </c>
    </row>
    <row r="46" spans="1:57">
      <c r="A46" s="285"/>
      <c r="B46" s="283" t="s">
        <v>644</v>
      </c>
      <c r="C46" s="24">
        <f t="shared" si="51"/>
        <v>0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>
        <f t="shared" si="44"/>
        <v>0</v>
      </c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5"/>
      <c r="AB46" s="12"/>
      <c r="AC46" s="13">
        <f t="shared" si="52"/>
        <v>0</v>
      </c>
      <c r="AD46" s="13"/>
      <c r="AE46" s="26"/>
      <c r="AF46" s="27"/>
      <c r="AG46" s="13"/>
      <c r="AH46" s="28"/>
      <c r="AI46" s="28"/>
      <c r="AJ46" s="28"/>
      <c r="AK46" s="28"/>
      <c r="AL46" s="28"/>
      <c r="AM46" s="11"/>
      <c r="AN46" s="11"/>
      <c r="AO46" s="11"/>
      <c r="AP46" s="11">
        <f t="shared" si="45"/>
        <v>0</v>
      </c>
      <c r="AQ46" s="11">
        <f t="shared" si="46"/>
        <v>14700.25</v>
      </c>
      <c r="AR46" s="11">
        <f t="shared" si="53"/>
        <v>14700.25</v>
      </c>
      <c r="AS46" s="11"/>
      <c r="AT46" s="11"/>
      <c r="AU46" s="12"/>
      <c r="AV46" s="12"/>
      <c r="AW46" s="11"/>
      <c r="AX46" s="11"/>
      <c r="AY46" s="11">
        <f t="shared" si="50"/>
        <v>14700.25</v>
      </c>
      <c r="AZ46" s="11"/>
      <c r="BA46" s="11">
        <f t="shared" si="47"/>
        <v>14700.25</v>
      </c>
      <c r="BB46" s="11">
        <f t="shared" si="54"/>
        <v>0</v>
      </c>
      <c r="BC46" s="11">
        <f t="shared" si="48"/>
        <v>22050.375</v>
      </c>
      <c r="BD46" s="11">
        <f t="shared" si="49"/>
        <v>0</v>
      </c>
      <c r="BE46" s="5" t="s">
        <v>86</v>
      </c>
    </row>
    <row r="47" spans="1:57">
      <c r="A47" s="285"/>
      <c r="B47" s="283" t="s">
        <v>42</v>
      </c>
      <c r="C47" s="24">
        <f t="shared" si="51"/>
        <v>0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>
        <f t="shared" si="44"/>
        <v>0</v>
      </c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5"/>
      <c r="AB47" s="12"/>
      <c r="AC47" s="13">
        <f t="shared" si="52"/>
        <v>0</v>
      </c>
      <c r="AD47" s="13"/>
      <c r="AE47" s="13"/>
      <c r="AF47" s="27"/>
      <c r="AG47" s="26"/>
      <c r="AH47" s="13"/>
      <c r="AI47" s="28"/>
      <c r="AJ47" s="28"/>
      <c r="AK47" s="28"/>
      <c r="AL47" s="28"/>
      <c r="AM47" s="11"/>
      <c r="AN47" s="13"/>
      <c r="AO47" s="11"/>
      <c r="AP47" s="11">
        <f t="shared" si="45"/>
        <v>0</v>
      </c>
      <c r="AQ47" s="11">
        <f t="shared" si="46"/>
        <v>14700.25</v>
      </c>
      <c r="AR47" s="11">
        <f t="shared" si="53"/>
        <v>14700.25</v>
      </c>
      <c r="AS47" s="11"/>
      <c r="AT47" s="11"/>
      <c r="AU47" s="12"/>
      <c r="AV47" s="11"/>
      <c r="AW47" s="11"/>
      <c r="AX47" s="11"/>
      <c r="AY47" s="11">
        <f t="shared" si="50"/>
        <v>14700.25</v>
      </c>
      <c r="AZ47" s="11"/>
      <c r="BA47" s="11">
        <f t="shared" si="47"/>
        <v>14700.25</v>
      </c>
      <c r="BB47" s="11">
        <f t="shared" si="54"/>
        <v>0</v>
      </c>
      <c r="BC47" s="11">
        <f t="shared" si="48"/>
        <v>22050.375</v>
      </c>
      <c r="BD47" s="11">
        <f t="shared" si="49"/>
        <v>0</v>
      </c>
      <c r="BE47" s="5" t="s">
        <v>86</v>
      </c>
    </row>
    <row r="48" spans="1:57">
      <c r="A48" s="288" t="s">
        <v>43</v>
      </c>
      <c r="B48" s="289" t="s">
        <v>645</v>
      </c>
      <c r="C48" s="24">
        <v>1</v>
      </c>
      <c r="D48" s="24"/>
      <c r="E48" s="24">
        <v>0.5</v>
      </c>
      <c r="F48" s="24"/>
      <c r="G48" s="24"/>
      <c r="H48" s="24"/>
      <c r="I48" s="24"/>
      <c r="J48" s="24"/>
      <c r="K48" s="24"/>
      <c r="L48" s="24"/>
      <c r="M48" s="24"/>
      <c r="N48" s="24"/>
      <c r="O48" s="24">
        <f t="shared" si="44"/>
        <v>0.5</v>
      </c>
      <c r="P48" s="24"/>
      <c r="Q48" s="24">
        <v>0.5</v>
      </c>
      <c r="R48" s="24"/>
      <c r="S48" s="24"/>
      <c r="T48" s="24"/>
      <c r="U48" s="24"/>
      <c r="V48" s="24"/>
      <c r="W48" s="24"/>
      <c r="X48" s="24"/>
      <c r="Y48" s="24"/>
      <c r="Z48" s="24"/>
      <c r="AA48" s="25">
        <v>17362</v>
      </c>
      <c r="AB48" s="12"/>
      <c r="AC48" s="13">
        <f t="shared" si="52"/>
        <v>17362</v>
      </c>
      <c r="AD48" s="13">
        <f>AC48*AD31</f>
        <v>868.1</v>
      </c>
      <c r="AE48" s="26"/>
      <c r="AF48" s="27"/>
      <c r="AG48" s="26"/>
      <c r="AH48" s="28"/>
      <c r="AI48" s="28"/>
      <c r="AJ48" s="28"/>
      <c r="AK48" s="28"/>
      <c r="AL48" s="28"/>
      <c r="AM48" s="11"/>
      <c r="AN48" s="11"/>
      <c r="AO48" s="11"/>
      <c r="AP48" s="11">
        <f t="shared" si="45"/>
        <v>18230.099999999999</v>
      </c>
      <c r="AQ48" s="11">
        <f t="shared" si="46"/>
        <v>0</v>
      </c>
      <c r="AR48" s="11">
        <f t="shared" si="53"/>
        <v>18230.099999999999</v>
      </c>
      <c r="AS48" s="11"/>
      <c r="AT48" s="11"/>
      <c r="AU48" s="11"/>
      <c r="AV48" s="11"/>
      <c r="AW48" s="11"/>
      <c r="AX48" s="11"/>
      <c r="AY48" s="11">
        <f t="shared" si="50"/>
        <v>18230.099999999999</v>
      </c>
      <c r="AZ48" s="11"/>
      <c r="BA48" s="11">
        <f t="shared" si="47"/>
        <v>18230.099999999999</v>
      </c>
      <c r="BB48" s="11">
        <f t="shared" si="54"/>
        <v>33769.9</v>
      </c>
      <c r="BC48" s="11">
        <f t="shared" si="48"/>
        <v>78000</v>
      </c>
      <c r="BD48" s="11">
        <f t="shared" si="49"/>
        <v>936000</v>
      </c>
      <c r="BE48" s="5" t="s">
        <v>86</v>
      </c>
    </row>
    <row r="49" spans="1:57">
      <c r="A49" s="288" t="s">
        <v>43</v>
      </c>
      <c r="B49" s="286" t="s">
        <v>646</v>
      </c>
      <c r="C49" s="24">
        <f t="shared" si="51"/>
        <v>0.5</v>
      </c>
      <c r="D49" s="24"/>
      <c r="E49" s="24">
        <v>0.5</v>
      </c>
      <c r="F49" s="24"/>
      <c r="G49" s="24"/>
      <c r="H49" s="24"/>
      <c r="I49" s="24"/>
      <c r="J49" s="24"/>
      <c r="K49" s="24"/>
      <c r="L49" s="24"/>
      <c r="M49" s="24"/>
      <c r="N49" s="24"/>
      <c r="O49" s="24">
        <f t="shared" si="44"/>
        <v>0.5</v>
      </c>
      <c r="P49" s="24"/>
      <c r="Q49" s="24">
        <v>0.5</v>
      </c>
      <c r="R49" s="24"/>
      <c r="S49" s="24"/>
      <c r="T49" s="24"/>
      <c r="U49" s="24"/>
      <c r="V49" s="24"/>
      <c r="W49" s="24"/>
      <c r="X49" s="24"/>
      <c r="Y49" s="24"/>
      <c r="Z49" s="24"/>
      <c r="AA49" s="25">
        <v>14290</v>
      </c>
      <c r="AB49" s="12"/>
      <c r="AC49" s="13">
        <f t="shared" si="52"/>
        <v>14290</v>
      </c>
      <c r="AD49" s="13">
        <f>AC49*AD31</f>
        <v>714.5</v>
      </c>
      <c r="AE49" s="26"/>
      <c r="AF49" s="27"/>
      <c r="AG49" s="26"/>
      <c r="AH49" s="28"/>
      <c r="AI49" s="28"/>
      <c r="AJ49" s="28"/>
      <c r="AK49" s="28"/>
      <c r="AL49" s="28"/>
      <c r="AM49" s="11"/>
      <c r="AN49" s="11"/>
      <c r="AO49" s="11"/>
      <c r="AP49" s="11">
        <f t="shared" si="45"/>
        <v>15004.5</v>
      </c>
      <c r="AQ49" s="11">
        <f t="shared" si="46"/>
        <v>0</v>
      </c>
      <c r="AR49" s="11">
        <f t="shared" si="53"/>
        <v>15004.5</v>
      </c>
      <c r="AS49" s="11"/>
      <c r="AT49" s="11"/>
      <c r="AU49" s="11"/>
      <c r="AV49" s="11"/>
      <c r="AW49" s="11"/>
      <c r="AX49" s="11"/>
      <c r="AY49" s="11">
        <f t="shared" si="50"/>
        <v>15004.5</v>
      </c>
      <c r="AZ49" s="11"/>
      <c r="BA49" s="11">
        <f t="shared" si="47"/>
        <v>15004.5</v>
      </c>
      <c r="BB49" s="11">
        <f t="shared" si="54"/>
        <v>36995.5</v>
      </c>
      <c r="BC49" s="11">
        <f t="shared" si="48"/>
        <v>78000</v>
      </c>
      <c r="BD49" s="11">
        <f t="shared" si="49"/>
        <v>468000</v>
      </c>
      <c r="BE49" s="5" t="s">
        <v>86</v>
      </c>
    </row>
    <row r="50" spans="1:57">
      <c r="A50" s="288" t="s">
        <v>43</v>
      </c>
      <c r="B50" s="286" t="s">
        <v>646</v>
      </c>
      <c r="C50" s="24">
        <f t="shared" si="51"/>
        <v>0.5</v>
      </c>
      <c r="D50" s="24"/>
      <c r="E50" s="24">
        <v>0.5</v>
      </c>
      <c r="F50" s="24"/>
      <c r="G50" s="24"/>
      <c r="H50" s="24"/>
      <c r="I50" s="24"/>
      <c r="J50" s="24"/>
      <c r="K50" s="24"/>
      <c r="L50" s="24"/>
      <c r="M50" s="24"/>
      <c r="N50" s="24"/>
      <c r="O50" s="24">
        <f t="shared" si="44"/>
        <v>0.5</v>
      </c>
      <c r="P50" s="24"/>
      <c r="Q50" s="24">
        <v>0.5</v>
      </c>
      <c r="R50" s="24"/>
      <c r="S50" s="24"/>
      <c r="T50" s="24"/>
      <c r="U50" s="24"/>
      <c r="V50" s="24"/>
      <c r="W50" s="24"/>
      <c r="X50" s="24"/>
      <c r="Y50" s="24"/>
      <c r="Z50" s="24"/>
      <c r="AA50" s="25">
        <v>14290</v>
      </c>
      <c r="AB50" s="12"/>
      <c r="AC50" s="13">
        <f t="shared" si="52"/>
        <v>14290</v>
      </c>
      <c r="AD50" s="13">
        <f>AC50*AD31</f>
        <v>714.5</v>
      </c>
      <c r="AE50" s="26"/>
      <c r="AF50" s="27"/>
      <c r="AG50" s="26"/>
      <c r="AH50" s="28"/>
      <c r="AI50" s="28"/>
      <c r="AJ50" s="28"/>
      <c r="AK50" s="28"/>
      <c r="AL50" s="28"/>
      <c r="AM50" s="11"/>
      <c r="AN50" s="11"/>
      <c r="AO50" s="11"/>
      <c r="AP50" s="11">
        <f t="shared" si="45"/>
        <v>15004.5</v>
      </c>
      <c r="AQ50" s="11">
        <f t="shared" si="46"/>
        <v>0</v>
      </c>
      <c r="AR50" s="11">
        <f t="shared" si="53"/>
        <v>15004.5</v>
      </c>
      <c r="AS50" s="11"/>
      <c r="AT50" s="11"/>
      <c r="AU50" s="11"/>
      <c r="AV50" s="11"/>
      <c r="AW50" s="11"/>
      <c r="AX50" s="11"/>
      <c r="AY50" s="11">
        <f t="shared" si="50"/>
        <v>15004.5</v>
      </c>
      <c r="AZ50" s="11"/>
      <c r="BA50" s="11">
        <f t="shared" si="47"/>
        <v>15004.5</v>
      </c>
      <c r="BB50" s="11">
        <f t="shared" si="54"/>
        <v>36995.5</v>
      </c>
      <c r="BC50" s="11">
        <f t="shared" si="48"/>
        <v>78000</v>
      </c>
      <c r="BD50" s="11">
        <f t="shared" si="49"/>
        <v>468000</v>
      </c>
      <c r="BE50" s="5" t="s">
        <v>86</v>
      </c>
    </row>
    <row r="51" spans="1:57">
      <c r="A51" s="288"/>
      <c r="B51" s="283" t="s">
        <v>647</v>
      </c>
      <c r="C51" s="24">
        <f t="shared" si="51"/>
        <v>0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>
        <f t="shared" si="44"/>
        <v>0</v>
      </c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5"/>
      <c r="AB51" s="12"/>
      <c r="AC51" s="13">
        <f t="shared" si="52"/>
        <v>0</v>
      </c>
      <c r="AD51" s="13"/>
      <c r="AE51" s="26"/>
      <c r="AF51" s="27"/>
      <c r="AG51" s="26"/>
      <c r="AH51" s="28"/>
      <c r="AI51" s="28"/>
      <c r="AJ51" s="28"/>
      <c r="AK51" s="28"/>
      <c r="AL51" s="28"/>
      <c r="AM51" s="11"/>
      <c r="AN51" s="11"/>
      <c r="AO51" s="11"/>
      <c r="AP51" s="11">
        <f t="shared" si="45"/>
        <v>0</v>
      </c>
      <c r="AQ51" s="11">
        <f t="shared" si="46"/>
        <v>14700.25</v>
      </c>
      <c r="AR51" s="11">
        <f t="shared" si="53"/>
        <v>14700.25</v>
      </c>
      <c r="AS51" s="11"/>
      <c r="AT51" s="11"/>
      <c r="AU51" s="11"/>
      <c r="AV51" s="11"/>
      <c r="AW51" s="11"/>
      <c r="AX51" s="11"/>
      <c r="AY51" s="11">
        <f t="shared" si="50"/>
        <v>14700.25</v>
      </c>
      <c r="AZ51" s="11"/>
      <c r="BA51" s="11">
        <f t="shared" si="47"/>
        <v>14700.25</v>
      </c>
      <c r="BB51" s="11">
        <f t="shared" si="54"/>
        <v>0</v>
      </c>
      <c r="BC51" s="11">
        <f t="shared" si="48"/>
        <v>22050.375</v>
      </c>
      <c r="BD51" s="11">
        <f t="shared" si="49"/>
        <v>0</v>
      </c>
      <c r="BE51" s="5" t="s">
        <v>86</v>
      </c>
    </row>
    <row r="52" spans="1:57">
      <c r="A52" s="288" t="s">
        <v>47</v>
      </c>
      <c r="B52" s="286" t="s">
        <v>648</v>
      </c>
      <c r="C52" s="24">
        <f t="shared" si="51"/>
        <v>0.5</v>
      </c>
      <c r="D52" s="24"/>
      <c r="E52" s="24">
        <v>0.5</v>
      </c>
      <c r="F52" s="24"/>
      <c r="G52" s="24"/>
      <c r="H52" s="24"/>
      <c r="I52" s="24"/>
      <c r="J52" s="24"/>
      <c r="K52" s="24"/>
      <c r="L52" s="24"/>
      <c r="M52" s="24"/>
      <c r="N52" s="24"/>
      <c r="O52" s="24">
        <f t="shared" si="44"/>
        <v>1</v>
      </c>
      <c r="P52" s="24"/>
      <c r="Q52" s="24">
        <v>1</v>
      </c>
      <c r="R52" s="24"/>
      <c r="S52" s="24"/>
      <c r="T52" s="24"/>
      <c r="U52" s="24"/>
      <c r="V52" s="24"/>
      <c r="W52" s="24"/>
      <c r="X52" s="24"/>
      <c r="Y52" s="24"/>
      <c r="Z52" s="24"/>
      <c r="AA52" s="25">
        <v>11259</v>
      </c>
      <c r="AB52" s="12"/>
      <c r="AC52" s="13">
        <f t="shared" si="52"/>
        <v>11259</v>
      </c>
      <c r="AD52" s="13"/>
      <c r="AE52" s="26"/>
      <c r="AF52" s="27"/>
      <c r="AG52" s="26">
        <f>AC52*AG31</f>
        <v>2251.8000000000002</v>
      </c>
      <c r="AH52" s="28"/>
      <c r="AI52" s="28"/>
      <c r="AJ52" s="28"/>
      <c r="AK52" s="28"/>
      <c r="AL52" s="28"/>
      <c r="AM52" s="11"/>
      <c r="AN52" s="11"/>
      <c r="AO52" s="11"/>
      <c r="AP52" s="11">
        <f t="shared" si="45"/>
        <v>13510.8</v>
      </c>
      <c r="AQ52" s="11">
        <f t="shared" si="46"/>
        <v>1189.4500000000007</v>
      </c>
      <c r="AR52" s="11">
        <f t="shared" si="53"/>
        <v>14700.25</v>
      </c>
      <c r="AS52" s="11"/>
      <c r="AT52" s="11"/>
      <c r="AU52" s="11">
        <f>AC52*4%</f>
        <v>450.36</v>
      </c>
      <c r="AV52" s="11"/>
      <c r="AW52" s="11"/>
      <c r="AX52" s="11"/>
      <c r="AY52" s="11">
        <f t="shared" si="50"/>
        <v>15150.61</v>
      </c>
      <c r="AZ52" s="11"/>
      <c r="BA52" s="11">
        <f t="shared" si="47"/>
        <v>15150.61</v>
      </c>
      <c r="BB52" s="11">
        <f t="shared" si="54"/>
        <v>15510.103333333333</v>
      </c>
      <c r="BC52" s="11">
        <f t="shared" si="48"/>
        <v>45991.07</v>
      </c>
      <c r="BD52" s="11">
        <f t="shared" si="49"/>
        <v>275946.42</v>
      </c>
      <c r="BE52" s="5" t="s">
        <v>86</v>
      </c>
    </row>
    <row r="53" spans="1:57">
      <c r="A53" s="288" t="s">
        <v>47</v>
      </c>
      <c r="B53" s="286" t="s">
        <v>649</v>
      </c>
      <c r="C53" s="24">
        <f t="shared" si="51"/>
        <v>1</v>
      </c>
      <c r="D53" s="24"/>
      <c r="E53" s="24">
        <v>1</v>
      </c>
      <c r="F53" s="24"/>
      <c r="G53" s="24"/>
      <c r="H53" s="24"/>
      <c r="I53" s="24"/>
      <c r="J53" s="24"/>
      <c r="K53" s="24"/>
      <c r="L53" s="24"/>
      <c r="M53" s="24"/>
      <c r="N53" s="24"/>
      <c r="O53" s="24">
        <f t="shared" si="44"/>
        <v>1</v>
      </c>
      <c r="P53" s="24"/>
      <c r="Q53" s="24">
        <v>1</v>
      </c>
      <c r="R53" s="24"/>
      <c r="S53" s="24"/>
      <c r="T53" s="24"/>
      <c r="U53" s="24"/>
      <c r="V53" s="24"/>
      <c r="W53" s="24"/>
      <c r="X53" s="24"/>
      <c r="Y53" s="24"/>
      <c r="Z53" s="24"/>
      <c r="AA53" s="25">
        <v>10745</v>
      </c>
      <c r="AB53" s="12"/>
      <c r="AC53" s="13">
        <f t="shared" si="52"/>
        <v>10745</v>
      </c>
      <c r="AD53" s="13"/>
      <c r="AE53" s="26"/>
      <c r="AF53" s="411"/>
      <c r="AG53" s="412">
        <f>AC53*AG31</f>
        <v>2149</v>
      </c>
      <c r="AH53" s="412"/>
      <c r="AI53" s="411"/>
      <c r="AJ53" s="411"/>
      <c r="AK53" s="411"/>
      <c r="AL53" s="411"/>
      <c r="AM53" s="411"/>
      <c r="AN53" s="11"/>
      <c r="AO53" s="11"/>
      <c r="AP53" s="11">
        <f t="shared" si="45"/>
        <v>12894</v>
      </c>
      <c r="AQ53" s="11">
        <f t="shared" si="46"/>
        <v>1806.25</v>
      </c>
      <c r="AR53" s="11">
        <f t="shared" si="53"/>
        <v>14700.25</v>
      </c>
      <c r="AS53" s="11"/>
      <c r="AT53" s="11"/>
      <c r="AU53" s="11">
        <f t="shared" ref="AU53:AU61" si="55">AC53*4%</f>
        <v>429.8</v>
      </c>
      <c r="AV53" s="11"/>
      <c r="AW53" s="11"/>
      <c r="AX53" s="11"/>
      <c r="AY53" s="11">
        <f t="shared" si="50"/>
        <v>15130.05</v>
      </c>
      <c r="AZ53" s="11"/>
      <c r="BA53" s="11">
        <f t="shared" si="47"/>
        <v>15130.05</v>
      </c>
      <c r="BB53" s="11">
        <f t="shared" si="54"/>
        <v>15530.663333333334</v>
      </c>
      <c r="BC53" s="11">
        <f t="shared" si="48"/>
        <v>45991.07</v>
      </c>
      <c r="BD53" s="11">
        <f t="shared" si="49"/>
        <v>551892.84</v>
      </c>
      <c r="BE53" s="5" t="s">
        <v>86</v>
      </c>
    </row>
    <row r="54" spans="1:57">
      <c r="A54" s="288" t="s">
        <v>47</v>
      </c>
      <c r="B54" s="286" t="s">
        <v>650</v>
      </c>
      <c r="C54" s="24">
        <f t="shared" si="51"/>
        <v>1</v>
      </c>
      <c r="D54" s="24"/>
      <c r="E54" s="24">
        <v>1</v>
      </c>
      <c r="F54" s="24"/>
      <c r="G54" s="24"/>
      <c r="H54" s="24"/>
      <c r="I54" s="24"/>
      <c r="J54" s="24"/>
      <c r="K54" s="24"/>
      <c r="L54" s="24"/>
      <c r="M54" s="24"/>
      <c r="N54" s="24"/>
      <c r="O54" s="24">
        <f t="shared" si="44"/>
        <v>1</v>
      </c>
      <c r="P54" s="24"/>
      <c r="Q54" s="24">
        <v>1</v>
      </c>
      <c r="R54" s="24"/>
      <c r="S54" s="24"/>
      <c r="T54" s="24"/>
      <c r="U54" s="24"/>
      <c r="V54" s="24"/>
      <c r="W54" s="24"/>
      <c r="X54" s="24"/>
      <c r="Y54" s="24"/>
      <c r="Z54" s="24"/>
      <c r="AA54" s="25">
        <v>9960</v>
      </c>
      <c r="AB54" s="12"/>
      <c r="AC54" s="13">
        <f t="shared" si="52"/>
        <v>9960</v>
      </c>
      <c r="AD54" s="13">
        <f>AC54*AD31</f>
        <v>498</v>
      </c>
      <c r="AE54" s="26"/>
      <c r="AF54" s="411"/>
      <c r="AG54" s="413"/>
      <c r="AH54" s="412"/>
      <c r="AI54" s="411"/>
      <c r="AJ54" s="411"/>
      <c r="AK54" s="411"/>
      <c r="AL54" s="411"/>
      <c r="AM54" s="411"/>
      <c r="AN54" s="11"/>
      <c r="AO54" s="11"/>
      <c r="AP54" s="11">
        <f t="shared" si="45"/>
        <v>10458</v>
      </c>
      <c r="AQ54" s="11">
        <f t="shared" si="46"/>
        <v>4242.25</v>
      </c>
      <c r="AR54" s="11">
        <f t="shared" si="53"/>
        <v>14700.25</v>
      </c>
      <c r="AS54" s="11"/>
      <c r="AT54" s="11"/>
      <c r="AU54" s="11">
        <f t="shared" si="55"/>
        <v>398.40000000000003</v>
      </c>
      <c r="AV54" s="11"/>
      <c r="AW54" s="11"/>
      <c r="AX54" s="11"/>
      <c r="AY54" s="11">
        <f t="shared" si="50"/>
        <v>15098.65</v>
      </c>
      <c r="AZ54" s="11"/>
      <c r="BA54" s="11">
        <f t="shared" si="47"/>
        <v>15098.65</v>
      </c>
      <c r="BB54" s="11">
        <f t="shared" si="54"/>
        <v>15562.063333333334</v>
      </c>
      <c r="BC54" s="11">
        <f t="shared" si="48"/>
        <v>45991.07</v>
      </c>
      <c r="BD54" s="11">
        <f t="shared" si="49"/>
        <v>551892.84</v>
      </c>
      <c r="BE54" s="5" t="s">
        <v>86</v>
      </c>
    </row>
    <row r="55" spans="1:57">
      <c r="A55" s="288" t="s">
        <v>47</v>
      </c>
      <c r="B55" s="286" t="s">
        <v>651</v>
      </c>
      <c r="C55" s="24">
        <f t="shared" si="51"/>
        <v>1</v>
      </c>
      <c r="D55" s="24"/>
      <c r="E55" s="24">
        <v>1</v>
      </c>
      <c r="F55" s="24"/>
      <c r="G55" s="24"/>
      <c r="H55" s="24"/>
      <c r="I55" s="24"/>
      <c r="J55" s="24"/>
      <c r="K55" s="24"/>
      <c r="L55" s="24"/>
      <c r="M55" s="24"/>
      <c r="N55" s="24"/>
      <c r="O55" s="24">
        <f t="shared" si="44"/>
        <v>1</v>
      </c>
      <c r="P55" s="24"/>
      <c r="Q55" s="24">
        <v>1</v>
      </c>
      <c r="R55" s="24"/>
      <c r="S55" s="24"/>
      <c r="T55" s="24"/>
      <c r="U55" s="24"/>
      <c r="V55" s="24"/>
      <c r="W55" s="24"/>
      <c r="X55" s="24"/>
      <c r="Y55" s="24"/>
      <c r="Z55" s="24"/>
      <c r="AA55" s="25">
        <v>9960</v>
      </c>
      <c r="AB55" s="12"/>
      <c r="AC55" s="13">
        <f t="shared" si="52"/>
        <v>9960</v>
      </c>
      <c r="AD55" s="13"/>
      <c r="AE55" s="26"/>
      <c r="AF55" s="412">
        <f>ROUND($G55*AF$22,2)</f>
        <v>0</v>
      </c>
      <c r="AG55" s="413">
        <f>AA55*AG31</f>
        <v>1992</v>
      </c>
      <c r="AH55" s="412"/>
      <c r="AI55" s="414"/>
      <c r="AJ55" s="414"/>
      <c r="AK55" s="414"/>
      <c r="AL55" s="414"/>
      <c r="AM55" s="414"/>
      <c r="AN55" s="11"/>
      <c r="AO55" s="11"/>
      <c r="AP55" s="11">
        <f t="shared" si="45"/>
        <v>11952</v>
      </c>
      <c r="AQ55" s="11">
        <f t="shared" si="46"/>
        <v>2748.25</v>
      </c>
      <c r="AR55" s="11">
        <f t="shared" si="53"/>
        <v>14700.25</v>
      </c>
      <c r="AS55" s="11"/>
      <c r="AT55" s="11"/>
      <c r="AU55" s="11">
        <f t="shared" si="55"/>
        <v>398.40000000000003</v>
      </c>
      <c r="AV55" s="11"/>
      <c r="AW55" s="11"/>
      <c r="AX55" s="11"/>
      <c r="AY55" s="11">
        <f t="shared" si="50"/>
        <v>15098.65</v>
      </c>
      <c r="AZ55" s="11"/>
      <c r="BA55" s="11">
        <f t="shared" si="47"/>
        <v>15098.65</v>
      </c>
      <c r="BB55" s="11">
        <f t="shared" si="54"/>
        <v>15562.063333333334</v>
      </c>
      <c r="BC55" s="11">
        <f t="shared" si="48"/>
        <v>45991.07</v>
      </c>
      <c r="BD55" s="11">
        <f t="shared" si="49"/>
        <v>551892.84</v>
      </c>
      <c r="BE55" s="5" t="s">
        <v>86</v>
      </c>
    </row>
    <row r="56" spans="1:57">
      <c r="A56" s="288" t="s">
        <v>47</v>
      </c>
      <c r="B56" s="286" t="s">
        <v>652</v>
      </c>
      <c r="C56" s="24">
        <f t="shared" si="51"/>
        <v>1</v>
      </c>
      <c r="D56" s="24"/>
      <c r="E56" s="24">
        <v>1</v>
      </c>
      <c r="F56" s="24"/>
      <c r="G56" s="24"/>
      <c r="H56" s="24"/>
      <c r="I56" s="24"/>
      <c r="J56" s="24"/>
      <c r="K56" s="24"/>
      <c r="L56" s="24"/>
      <c r="M56" s="24"/>
      <c r="N56" s="24"/>
      <c r="O56" s="24">
        <f t="shared" si="44"/>
        <v>1</v>
      </c>
      <c r="P56" s="24"/>
      <c r="Q56" s="24">
        <v>1</v>
      </c>
      <c r="R56" s="24"/>
      <c r="S56" s="24"/>
      <c r="T56" s="24"/>
      <c r="U56" s="24"/>
      <c r="V56" s="24"/>
      <c r="W56" s="24"/>
      <c r="X56" s="24"/>
      <c r="Y56" s="24"/>
      <c r="Z56" s="24"/>
      <c r="AA56" s="25">
        <v>10483</v>
      </c>
      <c r="AB56" s="12"/>
      <c r="AC56" s="13">
        <f t="shared" si="52"/>
        <v>10483</v>
      </c>
      <c r="AD56" s="13"/>
      <c r="AE56" s="26"/>
      <c r="AF56" s="415">
        <f>AC56*AF31</f>
        <v>1572.45</v>
      </c>
      <c r="AG56" s="412"/>
      <c r="AH56" s="412"/>
      <c r="AI56" s="415"/>
      <c r="AJ56" s="415"/>
      <c r="AK56" s="415"/>
      <c r="AL56" s="415"/>
      <c r="AM56" s="412">
        <f>AC56*AM31</f>
        <v>1048.3</v>
      </c>
      <c r="AN56" s="11"/>
      <c r="AO56" s="11"/>
      <c r="AP56" s="11">
        <f t="shared" si="45"/>
        <v>13103.75</v>
      </c>
      <c r="AQ56" s="11">
        <f t="shared" si="46"/>
        <v>1596.5</v>
      </c>
      <c r="AR56" s="11">
        <f t="shared" si="53"/>
        <v>14700.25</v>
      </c>
      <c r="AS56" s="11">
        <f>AC56*20%</f>
        <v>2096.6</v>
      </c>
      <c r="AT56" s="11">
        <f>AC56*5%</f>
        <v>524.15</v>
      </c>
      <c r="AU56" s="11">
        <f t="shared" si="55"/>
        <v>419.32</v>
      </c>
      <c r="AV56" s="11"/>
      <c r="AW56" s="11"/>
      <c r="AX56" s="11"/>
      <c r="AY56" s="11">
        <f t="shared" si="50"/>
        <v>17740.32</v>
      </c>
      <c r="AZ56" s="11"/>
      <c r="BA56" s="11">
        <f t="shared" si="47"/>
        <v>17740.32</v>
      </c>
      <c r="BB56" s="11">
        <f t="shared" si="54"/>
        <v>12920.393333333333</v>
      </c>
      <c r="BC56" s="11">
        <f t="shared" si="48"/>
        <v>45991.07</v>
      </c>
      <c r="BD56" s="11">
        <f t="shared" si="49"/>
        <v>551892.84</v>
      </c>
      <c r="BE56" s="5" t="s">
        <v>86</v>
      </c>
    </row>
    <row r="57" spans="1:57">
      <c r="A57" s="288" t="s">
        <v>47</v>
      </c>
      <c r="B57" s="286" t="s">
        <v>652</v>
      </c>
      <c r="C57" s="24">
        <f t="shared" si="51"/>
        <v>1</v>
      </c>
      <c r="D57" s="24"/>
      <c r="E57" s="24">
        <v>1</v>
      </c>
      <c r="F57" s="24"/>
      <c r="G57" s="24"/>
      <c r="H57" s="24"/>
      <c r="I57" s="24"/>
      <c r="J57" s="24"/>
      <c r="K57" s="24"/>
      <c r="L57" s="24"/>
      <c r="M57" s="24"/>
      <c r="N57" s="24"/>
      <c r="O57" s="24">
        <f t="shared" si="44"/>
        <v>1</v>
      </c>
      <c r="P57" s="24"/>
      <c r="Q57" s="24">
        <v>1</v>
      </c>
      <c r="R57" s="24"/>
      <c r="S57" s="24"/>
      <c r="T57" s="24"/>
      <c r="U57" s="24"/>
      <c r="V57" s="24"/>
      <c r="W57" s="24"/>
      <c r="X57" s="24"/>
      <c r="Y57" s="24"/>
      <c r="Z57" s="24"/>
      <c r="AA57" s="25">
        <v>10483</v>
      </c>
      <c r="AB57" s="12"/>
      <c r="AC57" s="13">
        <f t="shared" si="52"/>
        <v>10483</v>
      </c>
      <c r="AD57" s="13"/>
      <c r="AE57" s="26"/>
      <c r="AF57" s="415">
        <f>AC57*AF31</f>
        <v>1572.45</v>
      </c>
      <c r="AG57" s="413"/>
      <c r="AH57" s="412">
        <f>ROUND($G57*AH$22,2)</f>
        <v>0</v>
      </c>
      <c r="AI57" s="415"/>
      <c r="AJ57" s="415"/>
      <c r="AK57" s="415"/>
      <c r="AL57" s="415"/>
      <c r="AM57" s="412">
        <f>AC57*AM31</f>
        <v>1048.3</v>
      </c>
      <c r="AN57" s="11"/>
      <c r="AO57" s="11"/>
      <c r="AP57" s="11">
        <f t="shared" si="45"/>
        <v>13103.75</v>
      </c>
      <c r="AQ57" s="11">
        <f t="shared" si="46"/>
        <v>1596.5</v>
      </c>
      <c r="AR57" s="11">
        <f t="shared" si="53"/>
        <v>14700.25</v>
      </c>
      <c r="AS57" s="11">
        <f t="shared" ref="AS57:AS61" si="56">AC57*20%</f>
        <v>2096.6</v>
      </c>
      <c r="AT57" s="11">
        <f t="shared" ref="AT57:AT61" si="57">AC57*5%</f>
        <v>524.15</v>
      </c>
      <c r="AU57" s="11">
        <f t="shared" si="55"/>
        <v>419.32</v>
      </c>
      <c r="AV57" s="11"/>
      <c r="AW57" s="11"/>
      <c r="AX57" s="11"/>
      <c r="AY57" s="11">
        <f t="shared" si="50"/>
        <v>17740.32</v>
      </c>
      <c r="AZ57" s="11"/>
      <c r="BA57" s="11">
        <f t="shared" si="47"/>
        <v>17740.32</v>
      </c>
      <c r="BB57" s="11">
        <f t="shared" si="54"/>
        <v>12920.393333333333</v>
      </c>
      <c r="BC57" s="11">
        <f t="shared" si="48"/>
        <v>45991.07</v>
      </c>
      <c r="BD57" s="11">
        <f t="shared" si="49"/>
        <v>551892.84</v>
      </c>
      <c r="BE57" s="5" t="s">
        <v>86</v>
      </c>
    </row>
    <row r="58" spans="1:57">
      <c r="A58" s="288" t="s">
        <v>47</v>
      </c>
      <c r="B58" s="286" t="s">
        <v>652</v>
      </c>
      <c r="C58" s="24">
        <f t="shared" si="51"/>
        <v>1</v>
      </c>
      <c r="D58" s="24"/>
      <c r="E58" s="24">
        <v>1</v>
      </c>
      <c r="F58" s="24"/>
      <c r="G58" s="24"/>
      <c r="H58" s="24"/>
      <c r="I58" s="24"/>
      <c r="J58" s="24"/>
      <c r="K58" s="24"/>
      <c r="L58" s="24"/>
      <c r="M58" s="24"/>
      <c r="N58" s="24"/>
      <c r="O58" s="24">
        <f t="shared" si="44"/>
        <v>1</v>
      </c>
      <c r="P58" s="24"/>
      <c r="Q58" s="24">
        <v>1</v>
      </c>
      <c r="R58" s="24"/>
      <c r="S58" s="24"/>
      <c r="T58" s="24"/>
      <c r="U58" s="24"/>
      <c r="V58" s="24"/>
      <c r="W58" s="24"/>
      <c r="X58" s="24"/>
      <c r="Y58" s="24"/>
      <c r="Z58" s="24"/>
      <c r="AA58" s="25">
        <v>10483</v>
      </c>
      <c r="AB58" s="12"/>
      <c r="AC58" s="13">
        <f t="shared" si="52"/>
        <v>10483</v>
      </c>
      <c r="AD58" s="13"/>
      <c r="AE58" s="26"/>
      <c r="AF58" s="27">
        <f>AC58*AF31</f>
        <v>1572.45</v>
      </c>
      <c r="AG58" s="26"/>
      <c r="AH58" s="28"/>
      <c r="AI58" s="28"/>
      <c r="AJ58" s="28"/>
      <c r="AK58" s="28"/>
      <c r="AL58" s="28"/>
      <c r="AM58" s="11"/>
      <c r="AN58" s="11"/>
      <c r="AO58" s="11"/>
      <c r="AP58" s="11">
        <f t="shared" si="45"/>
        <v>12055.45</v>
      </c>
      <c r="AQ58" s="11">
        <f t="shared" si="46"/>
        <v>2644.7999999999993</v>
      </c>
      <c r="AR58" s="11">
        <f t="shared" si="53"/>
        <v>14700.25</v>
      </c>
      <c r="AS58" s="11">
        <f t="shared" si="56"/>
        <v>2096.6</v>
      </c>
      <c r="AT58" s="11">
        <f t="shared" si="57"/>
        <v>524.15</v>
      </c>
      <c r="AU58" s="11">
        <f t="shared" si="55"/>
        <v>419.32</v>
      </c>
      <c r="AV58" s="11"/>
      <c r="AW58" s="11"/>
      <c r="AX58" s="11"/>
      <c r="AY58" s="11">
        <f t="shared" si="50"/>
        <v>17740.32</v>
      </c>
      <c r="AZ58" s="11"/>
      <c r="BA58" s="11">
        <f t="shared" si="47"/>
        <v>17740.32</v>
      </c>
      <c r="BB58" s="11">
        <f t="shared" si="54"/>
        <v>12920.393333333333</v>
      </c>
      <c r="BC58" s="11">
        <f t="shared" si="48"/>
        <v>45991.07</v>
      </c>
      <c r="BD58" s="11">
        <f t="shared" si="49"/>
        <v>551892.84</v>
      </c>
      <c r="BE58" s="5" t="s">
        <v>86</v>
      </c>
    </row>
    <row r="59" spans="1:57">
      <c r="A59" s="288" t="s">
        <v>47</v>
      </c>
      <c r="B59" s="286" t="s">
        <v>652</v>
      </c>
      <c r="C59" s="24">
        <f t="shared" si="51"/>
        <v>1</v>
      </c>
      <c r="D59" s="24"/>
      <c r="E59" s="24">
        <v>1</v>
      </c>
      <c r="F59" s="24"/>
      <c r="G59" s="24"/>
      <c r="H59" s="24"/>
      <c r="I59" s="24"/>
      <c r="J59" s="24"/>
      <c r="K59" s="24"/>
      <c r="L59" s="24"/>
      <c r="M59" s="24"/>
      <c r="N59" s="24"/>
      <c r="O59" s="24">
        <f t="shared" si="44"/>
        <v>1</v>
      </c>
      <c r="P59" s="24"/>
      <c r="Q59" s="24">
        <v>1</v>
      </c>
      <c r="R59" s="24"/>
      <c r="S59" s="24"/>
      <c r="T59" s="24"/>
      <c r="U59" s="24"/>
      <c r="V59" s="24"/>
      <c r="W59" s="24"/>
      <c r="X59" s="24"/>
      <c r="Y59" s="24"/>
      <c r="Z59" s="24"/>
      <c r="AA59" s="25">
        <v>10483</v>
      </c>
      <c r="AB59" s="12"/>
      <c r="AC59" s="13">
        <f t="shared" si="52"/>
        <v>10483</v>
      </c>
      <c r="AD59" s="13"/>
      <c r="AE59" s="26"/>
      <c r="AF59" s="27">
        <f>AC59*AF31</f>
        <v>1572.45</v>
      </c>
      <c r="AG59" s="26"/>
      <c r="AH59" s="28"/>
      <c r="AI59" s="28"/>
      <c r="AJ59" s="28"/>
      <c r="AK59" s="28"/>
      <c r="AL59" s="28"/>
      <c r="AM59" s="11"/>
      <c r="AN59" s="11"/>
      <c r="AO59" s="11"/>
      <c r="AP59" s="11">
        <f t="shared" si="45"/>
        <v>12055.45</v>
      </c>
      <c r="AQ59" s="11">
        <f t="shared" si="46"/>
        <v>2644.7999999999993</v>
      </c>
      <c r="AR59" s="11">
        <f t="shared" si="53"/>
        <v>14700.25</v>
      </c>
      <c r="AS59" s="11">
        <f t="shared" si="56"/>
        <v>2096.6</v>
      </c>
      <c r="AT59" s="11">
        <f t="shared" si="57"/>
        <v>524.15</v>
      </c>
      <c r="AU59" s="11">
        <f t="shared" si="55"/>
        <v>419.32</v>
      </c>
      <c r="AV59" s="11"/>
      <c r="AW59" s="11"/>
      <c r="AX59" s="11"/>
      <c r="AY59" s="11">
        <f t="shared" si="50"/>
        <v>17740.32</v>
      </c>
      <c r="AZ59" s="11"/>
      <c r="BA59" s="11">
        <f t="shared" si="47"/>
        <v>17740.32</v>
      </c>
      <c r="BB59" s="11">
        <f t="shared" si="54"/>
        <v>12920.393333333333</v>
      </c>
      <c r="BC59" s="11">
        <f t="shared" si="48"/>
        <v>45991.07</v>
      </c>
      <c r="BD59" s="11">
        <f t="shared" si="49"/>
        <v>551892.84</v>
      </c>
      <c r="BE59" s="5" t="s">
        <v>86</v>
      </c>
    </row>
    <row r="60" spans="1:57">
      <c r="A60" s="288" t="s">
        <v>47</v>
      </c>
      <c r="B60" s="286" t="s">
        <v>652</v>
      </c>
      <c r="C60" s="24">
        <f t="shared" si="51"/>
        <v>1</v>
      </c>
      <c r="D60" s="24"/>
      <c r="E60" s="24">
        <v>1</v>
      </c>
      <c r="F60" s="24"/>
      <c r="G60" s="24"/>
      <c r="H60" s="24"/>
      <c r="I60" s="24"/>
      <c r="J60" s="24"/>
      <c r="K60" s="24"/>
      <c r="L60" s="24"/>
      <c r="M60" s="24"/>
      <c r="N60" s="24"/>
      <c r="O60" s="24">
        <f t="shared" si="44"/>
        <v>1</v>
      </c>
      <c r="P60" s="24"/>
      <c r="Q60" s="24">
        <v>1</v>
      </c>
      <c r="R60" s="24"/>
      <c r="S60" s="24"/>
      <c r="T60" s="24"/>
      <c r="U60" s="24"/>
      <c r="V60" s="24"/>
      <c r="W60" s="24"/>
      <c r="X60" s="24"/>
      <c r="Y60" s="24"/>
      <c r="Z60" s="24"/>
      <c r="AA60" s="25">
        <v>10483</v>
      </c>
      <c r="AB60" s="12"/>
      <c r="AC60" s="13">
        <f t="shared" si="52"/>
        <v>10483</v>
      </c>
      <c r="AD60" s="13">
        <f>AC60*AD31</f>
        <v>524.15</v>
      </c>
      <c r="AE60" s="26"/>
      <c r="AF60" s="27"/>
      <c r="AG60" s="26"/>
      <c r="AH60" s="28"/>
      <c r="AI60" s="28"/>
      <c r="AJ60" s="28"/>
      <c r="AK60" s="28"/>
      <c r="AL60" s="28"/>
      <c r="AM60" s="11"/>
      <c r="AN60" s="11"/>
      <c r="AO60" s="11"/>
      <c r="AP60" s="11">
        <f t="shared" si="45"/>
        <v>11007.15</v>
      </c>
      <c r="AQ60" s="11">
        <f t="shared" si="46"/>
        <v>3693.1000000000004</v>
      </c>
      <c r="AR60" s="11">
        <f t="shared" si="53"/>
        <v>14700.25</v>
      </c>
      <c r="AS60" s="11">
        <f t="shared" si="56"/>
        <v>2096.6</v>
      </c>
      <c r="AT60" s="11">
        <f t="shared" si="57"/>
        <v>524.15</v>
      </c>
      <c r="AU60" s="11">
        <f t="shared" si="55"/>
        <v>419.32</v>
      </c>
      <c r="AV60" s="11"/>
      <c r="AW60" s="11"/>
      <c r="AX60" s="11"/>
      <c r="AY60" s="11">
        <f t="shared" si="50"/>
        <v>17740.32</v>
      </c>
      <c r="AZ60" s="11"/>
      <c r="BA60" s="11">
        <f t="shared" si="47"/>
        <v>17740.32</v>
      </c>
      <c r="BB60" s="11">
        <f t="shared" si="54"/>
        <v>12920.393333333333</v>
      </c>
      <c r="BC60" s="11">
        <f t="shared" si="48"/>
        <v>45991.07</v>
      </c>
      <c r="BD60" s="11">
        <f t="shared" si="49"/>
        <v>551892.84</v>
      </c>
      <c r="BE60" s="5" t="s">
        <v>86</v>
      </c>
    </row>
    <row r="61" spans="1:57">
      <c r="A61" s="288" t="s">
        <v>47</v>
      </c>
      <c r="B61" s="286" t="s">
        <v>652</v>
      </c>
      <c r="C61" s="24">
        <f t="shared" si="51"/>
        <v>1</v>
      </c>
      <c r="D61" s="24"/>
      <c r="E61" s="24">
        <v>1</v>
      </c>
      <c r="F61" s="24"/>
      <c r="G61" s="24"/>
      <c r="H61" s="24"/>
      <c r="I61" s="24"/>
      <c r="J61" s="24"/>
      <c r="K61" s="24"/>
      <c r="L61" s="24"/>
      <c r="M61" s="24"/>
      <c r="N61" s="24"/>
      <c r="O61" s="24">
        <f t="shared" si="44"/>
        <v>1</v>
      </c>
      <c r="P61" s="24"/>
      <c r="Q61" s="24">
        <v>1</v>
      </c>
      <c r="R61" s="24"/>
      <c r="S61" s="24"/>
      <c r="T61" s="24"/>
      <c r="U61" s="24"/>
      <c r="V61" s="24"/>
      <c r="W61" s="24"/>
      <c r="X61" s="24"/>
      <c r="Y61" s="24"/>
      <c r="Z61" s="24"/>
      <c r="AA61" s="25">
        <v>10483</v>
      </c>
      <c r="AB61" s="12"/>
      <c r="AC61" s="13">
        <f t="shared" si="52"/>
        <v>10483</v>
      </c>
      <c r="AD61" s="13">
        <f>AC61*AD31</f>
        <v>524.15</v>
      </c>
      <c r="AE61" s="26"/>
      <c r="AF61" s="27"/>
      <c r="AG61" s="26"/>
      <c r="AH61" s="28"/>
      <c r="AI61" s="28"/>
      <c r="AJ61" s="28"/>
      <c r="AK61" s="28"/>
      <c r="AL61" s="28"/>
      <c r="AM61" s="11"/>
      <c r="AN61" s="11"/>
      <c r="AO61" s="11"/>
      <c r="AP61" s="11">
        <f t="shared" si="45"/>
        <v>11007.15</v>
      </c>
      <c r="AQ61" s="11">
        <f t="shared" si="46"/>
        <v>3693.1000000000004</v>
      </c>
      <c r="AR61" s="11">
        <f t="shared" si="53"/>
        <v>14700.25</v>
      </c>
      <c r="AS61" s="11">
        <f t="shared" si="56"/>
        <v>2096.6</v>
      </c>
      <c r="AT61" s="11">
        <f t="shared" si="57"/>
        <v>524.15</v>
      </c>
      <c r="AU61" s="11">
        <f t="shared" si="55"/>
        <v>419.32</v>
      </c>
      <c r="AV61" s="11"/>
      <c r="AW61" s="11"/>
      <c r="AX61" s="11"/>
      <c r="AY61" s="11">
        <f t="shared" si="50"/>
        <v>17740.32</v>
      </c>
      <c r="AZ61" s="11"/>
      <c r="BA61" s="11">
        <f t="shared" si="47"/>
        <v>17740.32</v>
      </c>
      <c r="BB61" s="11">
        <f t="shared" si="54"/>
        <v>12920.393333333333</v>
      </c>
      <c r="BC61" s="11">
        <f t="shared" si="48"/>
        <v>45991.07</v>
      </c>
      <c r="BD61" s="11">
        <f t="shared" si="49"/>
        <v>551892.84</v>
      </c>
      <c r="BE61" s="5" t="s">
        <v>86</v>
      </c>
    </row>
    <row r="62" spans="1:57">
      <c r="A62" s="288"/>
      <c r="B62" s="283" t="s">
        <v>653</v>
      </c>
      <c r="C62" s="24">
        <f t="shared" si="51"/>
        <v>0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>
        <f t="shared" si="44"/>
        <v>0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5"/>
      <c r="AB62" s="12"/>
      <c r="AC62" s="13">
        <f t="shared" si="52"/>
        <v>0</v>
      </c>
      <c r="AD62" s="13"/>
      <c r="AE62" s="26"/>
      <c r="AF62" s="27"/>
      <c r="AG62" s="26"/>
      <c r="AH62" s="28"/>
      <c r="AI62" s="28"/>
      <c r="AJ62" s="28"/>
      <c r="AK62" s="28"/>
      <c r="AL62" s="28"/>
      <c r="AM62" s="11"/>
      <c r="AN62" s="11"/>
      <c r="AO62" s="11"/>
      <c r="AP62" s="11">
        <f t="shared" si="45"/>
        <v>0</v>
      </c>
      <c r="AQ62" s="11">
        <f t="shared" si="46"/>
        <v>14700.25</v>
      </c>
      <c r="AR62" s="11">
        <f t="shared" si="53"/>
        <v>14700.25</v>
      </c>
      <c r="AS62" s="11"/>
      <c r="AT62" s="11"/>
      <c r="AU62" s="11"/>
      <c r="AV62" s="11"/>
      <c r="AW62" s="11"/>
      <c r="AX62" s="11"/>
      <c r="AY62" s="11">
        <f t="shared" si="50"/>
        <v>14700.25</v>
      </c>
      <c r="AZ62" s="11"/>
      <c r="BA62" s="11">
        <f t="shared" si="47"/>
        <v>14700.25</v>
      </c>
      <c r="BB62" s="11">
        <f t="shared" si="54"/>
        <v>0</v>
      </c>
      <c r="BC62" s="11">
        <f t="shared" si="48"/>
        <v>22050.375</v>
      </c>
      <c r="BD62" s="11">
        <f t="shared" si="49"/>
        <v>0</v>
      </c>
      <c r="BE62" s="5" t="s">
        <v>86</v>
      </c>
    </row>
    <row r="63" spans="1:57">
      <c r="A63" s="285" t="s">
        <v>61</v>
      </c>
      <c r="B63" s="284" t="s">
        <v>654</v>
      </c>
      <c r="C63" s="24">
        <f t="shared" ref="C63:C129" si="58">SUM(D63:N63)</f>
        <v>1</v>
      </c>
      <c r="D63" s="24">
        <v>1</v>
      </c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>
        <f t="shared" si="44"/>
        <v>1</v>
      </c>
      <c r="P63" s="24">
        <v>1</v>
      </c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5">
        <v>10846</v>
      </c>
      <c r="AB63" s="12"/>
      <c r="AC63" s="13">
        <f t="shared" si="52"/>
        <v>10846</v>
      </c>
      <c r="AD63" s="416"/>
      <c r="AE63" s="417">
        <f>AC63*AE31</f>
        <v>1084.6000000000001</v>
      </c>
      <c r="AF63" s="416"/>
      <c r="AG63" s="418"/>
      <c r="AH63" s="417"/>
      <c r="AI63" s="416"/>
      <c r="AJ63" s="416"/>
      <c r="AK63" s="416"/>
      <c r="AL63" s="416"/>
      <c r="AM63" s="419"/>
      <c r="AN63" s="419"/>
      <c r="AO63" s="419"/>
      <c r="AP63" s="11">
        <f t="shared" si="45"/>
        <v>11930.6</v>
      </c>
      <c r="AQ63" s="11">
        <f t="shared" si="46"/>
        <v>2769.6499999999996</v>
      </c>
      <c r="AR63" s="11">
        <f t="shared" si="53"/>
        <v>14700.25</v>
      </c>
      <c r="AS63" s="414"/>
      <c r="AT63" s="414"/>
      <c r="AU63" s="412"/>
      <c r="AV63" s="11"/>
      <c r="AW63" s="11"/>
      <c r="AX63" s="11"/>
      <c r="AY63" s="11">
        <f t="shared" si="50"/>
        <v>14700.25</v>
      </c>
      <c r="AZ63" s="11"/>
      <c r="BA63" s="11">
        <f t="shared" si="47"/>
        <v>14700.25</v>
      </c>
      <c r="BB63" s="11">
        <f t="shared" si="54"/>
        <v>6699.75</v>
      </c>
      <c r="BC63" s="11">
        <f t="shared" si="48"/>
        <v>32100</v>
      </c>
      <c r="BD63" s="11">
        <f t="shared" si="49"/>
        <v>385200</v>
      </c>
      <c r="BE63" s="5" t="s">
        <v>86</v>
      </c>
    </row>
    <row r="64" spans="1:57">
      <c r="A64" s="285" t="s">
        <v>61</v>
      </c>
      <c r="B64" s="284" t="s">
        <v>655</v>
      </c>
      <c r="C64" s="24">
        <f t="shared" si="58"/>
        <v>1</v>
      </c>
      <c r="D64" s="24"/>
      <c r="E64" s="24">
        <v>1</v>
      </c>
      <c r="F64" s="24"/>
      <c r="G64" s="24"/>
      <c r="H64" s="24"/>
      <c r="I64" s="24"/>
      <c r="J64" s="24"/>
      <c r="K64" s="24"/>
      <c r="L64" s="24"/>
      <c r="M64" s="24"/>
      <c r="N64" s="24"/>
      <c r="O64" s="24">
        <f t="shared" si="44"/>
        <v>1</v>
      </c>
      <c r="P64" s="24"/>
      <c r="Q64" s="24">
        <v>1</v>
      </c>
      <c r="R64" s="24"/>
      <c r="S64" s="24"/>
      <c r="T64" s="24"/>
      <c r="U64" s="24"/>
      <c r="V64" s="24"/>
      <c r="W64" s="24"/>
      <c r="X64" s="24"/>
      <c r="Y64" s="24"/>
      <c r="Z64" s="24"/>
      <c r="AA64" s="25">
        <v>8953</v>
      </c>
      <c r="AB64" s="12"/>
      <c r="AC64" s="13">
        <f t="shared" si="52"/>
        <v>8953</v>
      </c>
      <c r="AD64" s="420"/>
      <c r="AE64" s="417">
        <f>AC64*AE31</f>
        <v>895.30000000000007</v>
      </c>
      <c r="AF64" s="420"/>
      <c r="AG64" s="418"/>
      <c r="AH64" s="417"/>
      <c r="AI64" s="420"/>
      <c r="AJ64" s="420"/>
      <c r="AK64" s="420"/>
      <c r="AL64" s="420"/>
      <c r="AM64" s="420"/>
      <c r="AN64" s="420"/>
      <c r="AO64" s="420"/>
      <c r="AP64" s="11">
        <f t="shared" si="45"/>
        <v>9848.2999999999993</v>
      </c>
      <c r="AQ64" s="11">
        <f t="shared" si="46"/>
        <v>4851.9500000000007</v>
      </c>
      <c r="AR64" s="11">
        <f t="shared" si="53"/>
        <v>14700.25</v>
      </c>
      <c r="AS64" s="419"/>
      <c r="AT64" s="419"/>
      <c r="AU64" s="419"/>
      <c r="AV64" s="11"/>
      <c r="AW64" s="11"/>
      <c r="AX64" s="11"/>
      <c r="AY64" s="11">
        <f t="shared" si="50"/>
        <v>14700.25</v>
      </c>
      <c r="AZ64" s="11"/>
      <c r="BA64" s="11">
        <f t="shared" si="47"/>
        <v>14700.25</v>
      </c>
      <c r="BB64" s="11">
        <f t="shared" si="54"/>
        <v>6699.75</v>
      </c>
      <c r="BC64" s="11">
        <f t="shared" si="48"/>
        <v>32100</v>
      </c>
      <c r="BD64" s="11">
        <f t="shared" si="49"/>
        <v>385200</v>
      </c>
      <c r="BE64" s="5" t="s">
        <v>86</v>
      </c>
    </row>
    <row r="65" spans="1:57">
      <c r="A65" s="285" t="s">
        <v>61</v>
      </c>
      <c r="B65" s="284" t="s">
        <v>655</v>
      </c>
      <c r="C65" s="24">
        <f t="shared" si="58"/>
        <v>1</v>
      </c>
      <c r="D65" s="24"/>
      <c r="E65" s="24">
        <v>1</v>
      </c>
      <c r="F65" s="24"/>
      <c r="G65" s="24"/>
      <c r="H65" s="24"/>
      <c r="I65" s="24"/>
      <c r="J65" s="24"/>
      <c r="K65" s="24"/>
      <c r="L65" s="24"/>
      <c r="M65" s="24"/>
      <c r="N65" s="24"/>
      <c r="O65" s="24">
        <f t="shared" si="44"/>
        <v>1</v>
      </c>
      <c r="P65" s="24"/>
      <c r="Q65" s="24">
        <v>1</v>
      </c>
      <c r="R65" s="24"/>
      <c r="S65" s="24"/>
      <c r="T65" s="24"/>
      <c r="U65" s="24"/>
      <c r="V65" s="24"/>
      <c r="W65" s="24"/>
      <c r="X65" s="24"/>
      <c r="Y65" s="24"/>
      <c r="Z65" s="24"/>
      <c r="AA65" s="25">
        <v>8953</v>
      </c>
      <c r="AB65" s="12"/>
      <c r="AC65" s="13">
        <f t="shared" si="52"/>
        <v>8953</v>
      </c>
      <c r="AD65" s="420"/>
      <c r="AE65" s="417">
        <f>AC65*AE31</f>
        <v>895.30000000000007</v>
      </c>
      <c r="AF65" s="420"/>
      <c r="AG65" s="418"/>
      <c r="AH65" s="417"/>
      <c r="AI65" s="420"/>
      <c r="AJ65" s="420"/>
      <c r="AK65" s="420"/>
      <c r="AL65" s="420"/>
      <c r="AM65" s="420"/>
      <c r="AN65" s="420"/>
      <c r="AO65" s="420"/>
      <c r="AP65" s="11">
        <f t="shared" si="45"/>
        <v>9848.2999999999993</v>
      </c>
      <c r="AQ65" s="11">
        <f t="shared" si="46"/>
        <v>4851.9500000000007</v>
      </c>
      <c r="AR65" s="11">
        <f t="shared" si="53"/>
        <v>14700.25</v>
      </c>
      <c r="AS65" s="420"/>
      <c r="AT65" s="420"/>
      <c r="AU65" s="11">
        <f t="shared" ref="AU65:AU97" si="59">AC65*4%</f>
        <v>358.12</v>
      </c>
      <c r="AV65" s="11"/>
      <c r="AW65" s="11"/>
      <c r="AX65" s="11"/>
      <c r="AY65" s="11">
        <f t="shared" si="50"/>
        <v>15058.37</v>
      </c>
      <c r="AZ65" s="11"/>
      <c r="BA65" s="11">
        <f t="shared" si="47"/>
        <v>15058.37</v>
      </c>
      <c r="BB65" s="11">
        <f t="shared" si="54"/>
        <v>6341.6299999999992</v>
      </c>
      <c r="BC65" s="11">
        <f t="shared" si="48"/>
        <v>32100</v>
      </c>
      <c r="BD65" s="11">
        <f t="shared" si="49"/>
        <v>385200</v>
      </c>
      <c r="BE65" s="5" t="s">
        <v>86</v>
      </c>
    </row>
    <row r="66" spans="1:57">
      <c r="A66" s="32" t="s">
        <v>61</v>
      </c>
      <c r="B66" s="284" t="s">
        <v>656</v>
      </c>
      <c r="C66" s="24">
        <f t="shared" si="58"/>
        <v>1</v>
      </c>
      <c r="D66" s="24"/>
      <c r="E66" s="24">
        <v>1</v>
      </c>
      <c r="F66" s="24"/>
      <c r="G66" s="24"/>
      <c r="H66" s="24"/>
      <c r="I66" s="24"/>
      <c r="J66" s="24"/>
      <c r="K66" s="24"/>
      <c r="L66" s="24"/>
      <c r="M66" s="24"/>
      <c r="N66" s="24"/>
      <c r="O66" s="24">
        <f t="shared" ref="O66:O132" si="60">SUM(P66:Z66)</f>
        <v>1</v>
      </c>
      <c r="P66" s="24"/>
      <c r="Q66" s="24">
        <v>1</v>
      </c>
      <c r="R66" s="24"/>
      <c r="S66" s="24"/>
      <c r="T66" s="24"/>
      <c r="U66" s="24"/>
      <c r="V66" s="24"/>
      <c r="W66" s="24"/>
      <c r="X66" s="24"/>
      <c r="Y66" s="24"/>
      <c r="Z66" s="24"/>
      <c r="AA66" s="25">
        <v>8729</v>
      </c>
      <c r="AB66" s="12"/>
      <c r="AC66" s="13">
        <f t="shared" si="52"/>
        <v>8729</v>
      </c>
      <c r="AD66" s="416"/>
      <c r="AE66" s="416"/>
      <c r="AF66" s="416"/>
      <c r="AG66" s="418"/>
      <c r="AH66" s="417"/>
      <c r="AI66" s="416"/>
      <c r="AJ66" s="416"/>
      <c r="AK66" s="416"/>
      <c r="AL66" s="416"/>
      <c r="AM66" s="418"/>
      <c r="AN66" s="418"/>
      <c r="AO66" s="418"/>
      <c r="AP66" s="11">
        <f t="shared" si="45"/>
        <v>8729</v>
      </c>
      <c r="AQ66" s="11">
        <f t="shared" si="46"/>
        <v>5971.25</v>
      </c>
      <c r="AR66" s="11">
        <f t="shared" si="53"/>
        <v>14700.25</v>
      </c>
      <c r="AS66" s="420"/>
      <c r="AT66" s="420"/>
      <c r="AU66" s="11">
        <f t="shared" si="59"/>
        <v>349.16</v>
      </c>
      <c r="AV66" s="11"/>
      <c r="AW66" s="11"/>
      <c r="AX66" s="11"/>
      <c r="AY66" s="11">
        <f t="shared" si="50"/>
        <v>15049.41</v>
      </c>
      <c r="AZ66" s="11"/>
      <c r="BA66" s="11">
        <f t="shared" si="47"/>
        <v>15049.41</v>
      </c>
      <c r="BB66" s="11">
        <f t="shared" si="54"/>
        <v>6350.59</v>
      </c>
      <c r="BC66" s="11">
        <f t="shared" si="48"/>
        <v>32100</v>
      </c>
      <c r="BD66" s="11">
        <f t="shared" si="49"/>
        <v>385200</v>
      </c>
      <c r="BE66" s="5" t="s">
        <v>86</v>
      </c>
    </row>
    <row r="67" spans="1:57">
      <c r="A67" s="285" t="s">
        <v>61</v>
      </c>
      <c r="B67" s="284" t="s">
        <v>657</v>
      </c>
      <c r="C67" s="24">
        <f t="shared" si="58"/>
        <v>1</v>
      </c>
      <c r="D67" s="24"/>
      <c r="E67" s="24">
        <v>1</v>
      </c>
      <c r="F67" s="24"/>
      <c r="G67" s="24"/>
      <c r="H67" s="24"/>
      <c r="I67" s="24"/>
      <c r="J67" s="24"/>
      <c r="K67" s="24"/>
      <c r="L67" s="24"/>
      <c r="M67" s="24"/>
      <c r="N67" s="24"/>
      <c r="O67" s="24">
        <f t="shared" si="60"/>
        <v>1</v>
      </c>
      <c r="P67" s="24"/>
      <c r="Q67" s="24">
        <v>1</v>
      </c>
      <c r="R67" s="24"/>
      <c r="S67" s="24"/>
      <c r="T67" s="24"/>
      <c r="U67" s="24"/>
      <c r="V67" s="24"/>
      <c r="W67" s="24"/>
      <c r="X67" s="24"/>
      <c r="Y67" s="24"/>
      <c r="Z67" s="24"/>
      <c r="AA67" s="25">
        <v>8729</v>
      </c>
      <c r="AB67" s="12"/>
      <c r="AC67" s="13">
        <f t="shared" si="52"/>
        <v>8729</v>
      </c>
      <c r="AD67" s="416"/>
      <c r="AE67" s="416"/>
      <c r="AF67" s="416"/>
      <c r="AG67" s="417">
        <f>AC67*AG31</f>
        <v>1745.8000000000002</v>
      </c>
      <c r="AH67" s="417"/>
      <c r="AI67" s="416"/>
      <c r="AJ67" s="416"/>
      <c r="AK67" s="416"/>
      <c r="AL67" s="417"/>
      <c r="AM67" s="419"/>
      <c r="AN67" s="419"/>
      <c r="AO67" s="419"/>
      <c r="AP67" s="11">
        <f t="shared" si="45"/>
        <v>10474.799999999999</v>
      </c>
      <c r="AQ67" s="11">
        <f t="shared" si="46"/>
        <v>4225.4500000000007</v>
      </c>
      <c r="AR67" s="11">
        <f t="shared" si="53"/>
        <v>14700.25</v>
      </c>
      <c r="AS67" s="418"/>
      <c r="AT67" s="418"/>
      <c r="AU67" s="11">
        <f t="shared" si="59"/>
        <v>349.16</v>
      </c>
      <c r="AV67" s="11"/>
      <c r="AW67" s="11"/>
      <c r="AX67" s="11"/>
      <c r="AY67" s="11">
        <f t="shared" si="50"/>
        <v>15049.41</v>
      </c>
      <c r="AZ67" s="11"/>
      <c r="BA67" s="11">
        <f t="shared" si="47"/>
        <v>15049.41</v>
      </c>
      <c r="BB67" s="11">
        <f t="shared" si="54"/>
        <v>6350.59</v>
      </c>
      <c r="BC67" s="11">
        <f t="shared" si="48"/>
        <v>32100</v>
      </c>
      <c r="BD67" s="11">
        <f t="shared" si="49"/>
        <v>385200</v>
      </c>
      <c r="BE67" s="5" t="s">
        <v>86</v>
      </c>
    </row>
    <row r="68" spans="1:57">
      <c r="A68" s="285" t="s">
        <v>61</v>
      </c>
      <c r="B68" s="284" t="s">
        <v>658</v>
      </c>
      <c r="C68" s="24">
        <f t="shared" si="58"/>
        <v>1</v>
      </c>
      <c r="D68" s="24"/>
      <c r="E68" s="24">
        <v>1</v>
      </c>
      <c r="F68" s="24"/>
      <c r="G68" s="24"/>
      <c r="H68" s="24"/>
      <c r="I68" s="24"/>
      <c r="J68" s="24"/>
      <c r="K68" s="24"/>
      <c r="L68" s="24"/>
      <c r="M68" s="24"/>
      <c r="N68" s="24"/>
      <c r="O68" s="24">
        <f t="shared" si="60"/>
        <v>1</v>
      </c>
      <c r="P68" s="24"/>
      <c r="Q68" s="24">
        <v>1</v>
      </c>
      <c r="R68" s="24"/>
      <c r="S68" s="24"/>
      <c r="T68" s="24"/>
      <c r="U68" s="24"/>
      <c r="V68" s="24"/>
      <c r="W68" s="24"/>
      <c r="X68" s="24"/>
      <c r="Y68" s="24"/>
      <c r="Z68" s="24"/>
      <c r="AA68" s="25">
        <v>8729</v>
      </c>
      <c r="AB68" s="12"/>
      <c r="AC68" s="13">
        <f t="shared" si="52"/>
        <v>8729</v>
      </c>
      <c r="AD68" s="416"/>
      <c r="AE68" s="416"/>
      <c r="AF68" s="416"/>
      <c r="AG68" s="417"/>
      <c r="AH68" s="417"/>
      <c r="AI68" s="416"/>
      <c r="AJ68" s="416"/>
      <c r="AK68" s="416"/>
      <c r="AL68" s="416"/>
      <c r="AM68" s="419"/>
      <c r="AN68" s="419"/>
      <c r="AO68" s="419"/>
      <c r="AP68" s="11">
        <f t="shared" si="45"/>
        <v>8729</v>
      </c>
      <c r="AQ68" s="11">
        <f t="shared" si="46"/>
        <v>5971.25</v>
      </c>
      <c r="AR68" s="11">
        <f t="shared" si="53"/>
        <v>14700.25</v>
      </c>
      <c r="AS68" s="419"/>
      <c r="AT68" s="419"/>
      <c r="AU68" s="11">
        <f t="shared" si="59"/>
        <v>349.16</v>
      </c>
      <c r="AV68" s="11"/>
      <c r="AW68" s="11"/>
      <c r="AX68" s="11"/>
      <c r="AY68" s="11">
        <f t="shared" si="50"/>
        <v>15049.41</v>
      </c>
      <c r="AZ68" s="11"/>
      <c r="BA68" s="11">
        <f t="shared" si="47"/>
        <v>15049.41</v>
      </c>
      <c r="BB68" s="11">
        <f t="shared" si="54"/>
        <v>6350.59</v>
      </c>
      <c r="BC68" s="11">
        <f t="shared" si="48"/>
        <v>32100</v>
      </c>
      <c r="BD68" s="11">
        <f t="shared" si="49"/>
        <v>385200</v>
      </c>
      <c r="BE68" s="5" t="s">
        <v>86</v>
      </c>
    </row>
    <row r="69" spans="1:57">
      <c r="A69" s="285" t="s">
        <v>62</v>
      </c>
      <c r="B69" s="284" t="s">
        <v>659</v>
      </c>
      <c r="C69" s="24">
        <f t="shared" si="58"/>
        <v>1</v>
      </c>
      <c r="D69" s="24"/>
      <c r="E69" s="24">
        <v>1</v>
      </c>
      <c r="F69" s="24"/>
      <c r="G69" s="24"/>
      <c r="H69" s="24"/>
      <c r="I69" s="24"/>
      <c r="J69" s="24"/>
      <c r="K69" s="24"/>
      <c r="L69" s="24"/>
      <c r="M69" s="24"/>
      <c r="N69" s="24"/>
      <c r="O69" s="24">
        <f t="shared" si="60"/>
        <v>1</v>
      </c>
      <c r="P69" s="24"/>
      <c r="Q69" s="24">
        <v>1</v>
      </c>
      <c r="R69" s="24"/>
      <c r="S69" s="24"/>
      <c r="T69" s="24"/>
      <c r="U69" s="24"/>
      <c r="V69" s="24"/>
      <c r="W69" s="24"/>
      <c r="X69" s="24"/>
      <c r="Y69" s="24"/>
      <c r="Z69" s="24"/>
      <c r="AA69" s="25">
        <v>8729</v>
      </c>
      <c r="AB69" s="12"/>
      <c r="AC69" s="13">
        <f t="shared" si="52"/>
        <v>8729</v>
      </c>
      <c r="AD69" s="416"/>
      <c r="AE69" s="416"/>
      <c r="AF69" s="417">
        <f>AC69*AF31</f>
        <v>1309.3499999999999</v>
      </c>
      <c r="AG69" s="416"/>
      <c r="AH69" s="417"/>
      <c r="AI69" s="416"/>
      <c r="AJ69" s="416"/>
      <c r="AK69" s="416"/>
      <c r="AL69" s="416"/>
      <c r="AM69" s="419"/>
      <c r="AN69" s="419"/>
      <c r="AO69" s="419"/>
      <c r="AP69" s="11">
        <f t="shared" si="45"/>
        <v>10038.35</v>
      </c>
      <c r="AQ69" s="11">
        <f t="shared" si="46"/>
        <v>4661.8999999999996</v>
      </c>
      <c r="AR69" s="11">
        <f t="shared" si="53"/>
        <v>14700.25</v>
      </c>
      <c r="AS69" s="419"/>
      <c r="AT69" s="419"/>
      <c r="AU69" s="11">
        <f t="shared" si="59"/>
        <v>349.16</v>
      </c>
      <c r="AV69" s="11"/>
      <c r="AW69" s="11"/>
      <c r="AX69" s="11"/>
      <c r="AY69" s="11">
        <f t="shared" si="50"/>
        <v>15049.41</v>
      </c>
      <c r="AZ69" s="11"/>
      <c r="BA69" s="11">
        <f t="shared" si="47"/>
        <v>15049.41</v>
      </c>
      <c r="BB69" s="11">
        <f t="shared" si="54"/>
        <v>7758.59</v>
      </c>
      <c r="BC69" s="11">
        <f t="shared" si="48"/>
        <v>34212</v>
      </c>
      <c r="BD69" s="11">
        <f t="shared" si="49"/>
        <v>410544</v>
      </c>
      <c r="BE69" s="5" t="s">
        <v>86</v>
      </c>
    </row>
    <row r="70" spans="1:57">
      <c r="A70" s="285" t="s">
        <v>62</v>
      </c>
      <c r="B70" s="284" t="s">
        <v>659</v>
      </c>
      <c r="C70" s="24">
        <f t="shared" si="58"/>
        <v>1</v>
      </c>
      <c r="D70" s="24"/>
      <c r="E70" s="24">
        <v>1</v>
      </c>
      <c r="F70" s="24"/>
      <c r="G70" s="24"/>
      <c r="H70" s="24"/>
      <c r="I70" s="24"/>
      <c r="J70" s="24"/>
      <c r="K70" s="24"/>
      <c r="L70" s="24"/>
      <c r="M70" s="24"/>
      <c r="N70" s="24"/>
      <c r="O70" s="24">
        <f t="shared" si="60"/>
        <v>1</v>
      </c>
      <c r="P70" s="24"/>
      <c r="Q70" s="24">
        <v>1</v>
      </c>
      <c r="R70" s="24"/>
      <c r="S70" s="24"/>
      <c r="T70" s="24"/>
      <c r="U70" s="24"/>
      <c r="V70" s="24"/>
      <c r="W70" s="24"/>
      <c r="X70" s="24"/>
      <c r="Y70" s="24"/>
      <c r="Z70" s="24"/>
      <c r="AA70" s="25">
        <v>8729</v>
      </c>
      <c r="AB70" s="12"/>
      <c r="AC70" s="13">
        <f t="shared" si="52"/>
        <v>8729</v>
      </c>
      <c r="AD70" s="416"/>
      <c r="AE70" s="417">
        <f>AC70*AE31</f>
        <v>872.90000000000009</v>
      </c>
      <c r="AF70" s="416"/>
      <c r="AG70" s="416"/>
      <c r="AH70" s="417"/>
      <c r="AI70" s="416"/>
      <c r="AJ70" s="416"/>
      <c r="AK70" s="416"/>
      <c r="AL70" s="416"/>
      <c r="AM70" s="419"/>
      <c r="AN70" s="419"/>
      <c r="AO70" s="419"/>
      <c r="AP70" s="11">
        <f t="shared" si="45"/>
        <v>9601.9</v>
      </c>
      <c r="AQ70" s="11">
        <f t="shared" si="46"/>
        <v>5098.3500000000004</v>
      </c>
      <c r="AR70" s="11">
        <f t="shared" si="53"/>
        <v>14700.25</v>
      </c>
      <c r="AS70" s="414">
        <f>AC70/24*8*20%</f>
        <v>581.93333333333328</v>
      </c>
      <c r="AT70" s="414">
        <v>550</v>
      </c>
      <c r="AU70" s="11">
        <f t="shared" si="59"/>
        <v>349.16</v>
      </c>
      <c r="AV70" s="11"/>
      <c r="AW70" s="11"/>
      <c r="AX70" s="11"/>
      <c r="AY70" s="11">
        <f t="shared" si="50"/>
        <v>16181.343333333332</v>
      </c>
      <c r="AZ70" s="11"/>
      <c r="BA70" s="11">
        <f t="shared" si="47"/>
        <v>16181.343333333332</v>
      </c>
      <c r="BB70" s="11">
        <f t="shared" si="54"/>
        <v>6626.6566666666677</v>
      </c>
      <c r="BC70" s="11">
        <f t="shared" si="48"/>
        <v>34212</v>
      </c>
      <c r="BD70" s="11">
        <f t="shared" si="49"/>
        <v>410544</v>
      </c>
      <c r="BE70" s="5" t="s">
        <v>86</v>
      </c>
    </row>
    <row r="71" spans="1:57">
      <c r="A71" s="285" t="s">
        <v>62</v>
      </c>
      <c r="B71" s="284" t="s">
        <v>659</v>
      </c>
      <c r="C71" s="24">
        <f t="shared" si="58"/>
        <v>1</v>
      </c>
      <c r="D71" s="24"/>
      <c r="E71" s="24">
        <v>1</v>
      </c>
      <c r="F71" s="24"/>
      <c r="G71" s="24"/>
      <c r="H71" s="24"/>
      <c r="I71" s="24"/>
      <c r="J71" s="24"/>
      <c r="K71" s="24"/>
      <c r="L71" s="24"/>
      <c r="M71" s="24"/>
      <c r="N71" s="24"/>
      <c r="O71" s="24">
        <f t="shared" si="60"/>
        <v>1</v>
      </c>
      <c r="P71" s="24"/>
      <c r="Q71" s="24">
        <v>1</v>
      </c>
      <c r="R71" s="24"/>
      <c r="S71" s="24"/>
      <c r="T71" s="24"/>
      <c r="U71" s="24"/>
      <c r="V71" s="24"/>
      <c r="W71" s="24"/>
      <c r="X71" s="24"/>
      <c r="Y71" s="24"/>
      <c r="Z71" s="24"/>
      <c r="AA71" s="25">
        <v>8729</v>
      </c>
      <c r="AB71" s="12"/>
      <c r="AC71" s="13">
        <f t="shared" si="52"/>
        <v>8729</v>
      </c>
      <c r="AD71" s="416"/>
      <c r="AE71" s="416"/>
      <c r="AF71" s="417">
        <f>AC71*AF31</f>
        <v>1309.3499999999999</v>
      </c>
      <c r="AG71" s="416"/>
      <c r="AH71" s="417"/>
      <c r="AI71" s="416"/>
      <c r="AJ71" s="416"/>
      <c r="AK71" s="416"/>
      <c r="AL71" s="416"/>
      <c r="AM71" s="419"/>
      <c r="AN71" s="419"/>
      <c r="AO71" s="419"/>
      <c r="AP71" s="11">
        <f t="shared" si="45"/>
        <v>10038.35</v>
      </c>
      <c r="AQ71" s="11">
        <f t="shared" si="46"/>
        <v>4661.8999999999996</v>
      </c>
      <c r="AR71" s="11">
        <f t="shared" si="53"/>
        <v>14700.25</v>
      </c>
      <c r="AS71" s="414">
        <f t="shared" ref="AS71:AS100" si="61">AC71/24*8*20%</f>
        <v>581.93333333333328</v>
      </c>
      <c r="AT71" s="414">
        <v>550</v>
      </c>
      <c r="AU71" s="11">
        <f t="shared" si="59"/>
        <v>349.16</v>
      </c>
      <c r="AV71" s="11"/>
      <c r="AW71" s="11"/>
      <c r="AX71" s="11"/>
      <c r="AY71" s="11">
        <f t="shared" si="50"/>
        <v>16181.343333333332</v>
      </c>
      <c r="AZ71" s="11"/>
      <c r="BA71" s="11">
        <f t="shared" si="47"/>
        <v>16181.343333333332</v>
      </c>
      <c r="BB71" s="11">
        <f t="shared" si="54"/>
        <v>6626.6566666666677</v>
      </c>
      <c r="BC71" s="11">
        <f t="shared" si="48"/>
        <v>34212</v>
      </c>
      <c r="BD71" s="11">
        <f t="shared" si="49"/>
        <v>410544</v>
      </c>
      <c r="BE71" s="5" t="s">
        <v>86</v>
      </c>
    </row>
    <row r="72" spans="1:57">
      <c r="A72" s="285" t="s">
        <v>62</v>
      </c>
      <c r="B72" s="284" t="s">
        <v>659</v>
      </c>
      <c r="C72" s="24">
        <f t="shared" si="58"/>
        <v>1</v>
      </c>
      <c r="D72" s="24"/>
      <c r="E72" s="24">
        <v>1</v>
      </c>
      <c r="F72" s="24"/>
      <c r="G72" s="24"/>
      <c r="H72" s="24"/>
      <c r="I72" s="24"/>
      <c r="J72" s="24"/>
      <c r="K72" s="24"/>
      <c r="L72" s="24"/>
      <c r="M72" s="24"/>
      <c r="N72" s="24"/>
      <c r="O72" s="24">
        <f t="shared" si="60"/>
        <v>1</v>
      </c>
      <c r="P72" s="24"/>
      <c r="Q72" s="24">
        <v>1</v>
      </c>
      <c r="R72" s="24"/>
      <c r="S72" s="24"/>
      <c r="T72" s="24"/>
      <c r="U72" s="24"/>
      <c r="V72" s="24"/>
      <c r="W72" s="24"/>
      <c r="X72" s="24"/>
      <c r="Y72" s="24"/>
      <c r="Z72" s="24"/>
      <c r="AA72" s="25">
        <v>8729</v>
      </c>
      <c r="AB72" s="12"/>
      <c r="AC72" s="13">
        <f t="shared" si="52"/>
        <v>8729</v>
      </c>
      <c r="AD72" s="416"/>
      <c r="AE72" s="416"/>
      <c r="AF72" s="416"/>
      <c r="AG72" s="416"/>
      <c r="AH72" s="417">
        <f>AC72*AH31</f>
        <v>2618.6999999999998</v>
      </c>
      <c r="AI72" s="416"/>
      <c r="AJ72" s="416"/>
      <c r="AK72" s="416"/>
      <c r="AL72" s="416"/>
      <c r="AM72" s="419"/>
      <c r="AN72" s="419"/>
      <c r="AO72" s="419"/>
      <c r="AP72" s="11">
        <f t="shared" si="45"/>
        <v>11347.7</v>
      </c>
      <c r="AQ72" s="11">
        <f t="shared" si="46"/>
        <v>3352.5499999999993</v>
      </c>
      <c r="AR72" s="11">
        <f t="shared" si="53"/>
        <v>14700.25</v>
      </c>
      <c r="AS72" s="414">
        <f t="shared" si="61"/>
        <v>581.93333333333328</v>
      </c>
      <c r="AT72" s="414">
        <v>550</v>
      </c>
      <c r="AU72" s="11">
        <f t="shared" si="59"/>
        <v>349.16</v>
      </c>
      <c r="AV72" s="11"/>
      <c r="AW72" s="11"/>
      <c r="AX72" s="11"/>
      <c r="AY72" s="11">
        <f t="shared" si="50"/>
        <v>16181.343333333332</v>
      </c>
      <c r="AZ72" s="11"/>
      <c r="BA72" s="11">
        <f t="shared" si="47"/>
        <v>16181.343333333332</v>
      </c>
      <c r="BB72" s="11">
        <f t="shared" si="54"/>
        <v>6626.6566666666677</v>
      </c>
      <c r="BC72" s="11">
        <f t="shared" si="48"/>
        <v>34212</v>
      </c>
      <c r="BD72" s="11">
        <f t="shared" si="49"/>
        <v>410544</v>
      </c>
      <c r="BE72" s="5" t="s">
        <v>86</v>
      </c>
    </row>
    <row r="73" spans="1:57">
      <c r="A73" s="285" t="s">
        <v>62</v>
      </c>
      <c r="B73" s="284" t="s">
        <v>659</v>
      </c>
      <c r="C73" s="24">
        <f t="shared" si="58"/>
        <v>1</v>
      </c>
      <c r="D73" s="24"/>
      <c r="E73" s="24">
        <v>1</v>
      </c>
      <c r="F73" s="24"/>
      <c r="G73" s="24"/>
      <c r="H73" s="24"/>
      <c r="I73" s="24"/>
      <c r="J73" s="24"/>
      <c r="K73" s="24"/>
      <c r="L73" s="24"/>
      <c r="M73" s="24"/>
      <c r="N73" s="24"/>
      <c r="O73" s="24">
        <f t="shared" si="60"/>
        <v>1</v>
      </c>
      <c r="P73" s="24"/>
      <c r="Q73" s="24">
        <v>1</v>
      </c>
      <c r="R73" s="24"/>
      <c r="S73" s="24"/>
      <c r="T73" s="24"/>
      <c r="U73" s="24"/>
      <c r="V73" s="24"/>
      <c r="W73" s="24"/>
      <c r="X73" s="24"/>
      <c r="Y73" s="24"/>
      <c r="Z73" s="24"/>
      <c r="AA73" s="25">
        <v>8729</v>
      </c>
      <c r="AB73" s="12"/>
      <c r="AC73" s="13">
        <f t="shared" si="52"/>
        <v>8729</v>
      </c>
      <c r="AD73" s="416"/>
      <c r="AE73" s="416"/>
      <c r="AF73" s="416"/>
      <c r="AG73" s="417">
        <f>AC73*AG31</f>
        <v>1745.8000000000002</v>
      </c>
      <c r="AH73" s="417"/>
      <c r="AI73" s="416"/>
      <c r="AJ73" s="416"/>
      <c r="AK73" s="416"/>
      <c r="AL73" s="416"/>
      <c r="AM73" s="419"/>
      <c r="AN73" s="419"/>
      <c r="AO73" s="419"/>
      <c r="AP73" s="11">
        <f t="shared" si="45"/>
        <v>10474.799999999999</v>
      </c>
      <c r="AQ73" s="11">
        <f t="shared" si="46"/>
        <v>4225.4500000000007</v>
      </c>
      <c r="AR73" s="11">
        <f t="shared" si="53"/>
        <v>14700.25</v>
      </c>
      <c r="AS73" s="414">
        <f t="shared" si="61"/>
        <v>581.93333333333328</v>
      </c>
      <c r="AT73" s="414">
        <v>550</v>
      </c>
      <c r="AU73" s="11">
        <f t="shared" si="59"/>
        <v>349.16</v>
      </c>
      <c r="AV73" s="11"/>
      <c r="AW73" s="11"/>
      <c r="AX73" s="11"/>
      <c r="AY73" s="11">
        <f t="shared" si="50"/>
        <v>16181.343333333332</v>
      </c>
      <c r="AZ73" s="11"/>
      <c r="BA73" s="11">
        <f t="shared" si="47"/>
        <v>16181.343333333332</v>
      </c>
      <c r="BB73" s="11">
        <f t="shared" si="54"/>
        <v>6626.6566666666677</v>
      </c>
      <c r="BC73" s="11">
        <f t="shared" si="48"/>
        <v>34212</v>
      </c>
      <c r="BD73" s="11">
        <f t="shared" si="49"/>
        <v>410544</v>
      </c>
      <c r="BE73" s="5" t="s">
        <v>86</v>
      </c>
    </row>
    <row r="74" spans="1:57">
      <c r="A74" s="285" t="s">
        <v>62</v>
      </c>
      <c r="B74" s="284" t="s">
        <v>659</v>
      </c>
      <c r="C74" s="24">
        <f t="shared" si="58"/>
        <v>1</v>
      </c>
      <c r="D74" s="24"/>
      <c r="E74" s="24">
        <v>1</v>
      </c>
      <c r="F74" s="24"/>
      <c r="G74" s="24"/>
      <c r="H74" s="24"/>
      <c r="I74" s="24"/>
      <c r="J74" s="24"/>
      <c r="K74" s="24"/>
      <c r="L74" s="24"/>
      <c r="M74" s="24"/>
      <c r="N74" s="24"/>
      <c r="O74" s="24">
        <f t="shared" si="60"/>
        <v>1</v>
      </c>
      <c r="P74" s="24"/>
      <c r="Q74" s="24">
        <v>1</v>
      </c>
      <c r="R74" s="24"/>
      <c r="S74" s="24"/>
      <c r="T74" s="24"/>
      <c r="U74" s="24"/>
      <c r="V74" s="24"/>
      <c r="W74" s="24"/>
      <c r="X74" s="24"/>
      <c r="Y74" s="24"/>
      <c r="Z74" s="24"/>
      <c r="AA74" s="25">
        <v>8729</v>
      </c>
      <c r="AB74" s="12"/>
      <c r="AC74" s="13">
        <f t="shared" si="52"/>
        <v>8729</v>
      </c>
      <c r="AD74" s="416"/>
      <c r="AE74" s="416"/>
      <c r="AF74" s="416"/>
      <c r="AG74" s="417">
        <f>AC74*AG31</f>
        <v>1745.8000000000002</v>
      </c>
      <c r="AH74" s="417"/>
      <c r="AI74" s="416"/>
      <c r="AJ74" s="416"/>
      <c r="AK74" s="416"/>
      <c r="AL74" s="416"/>
      <c r="AM74" s="419"/>
      <c r="AN74" s="419"/>
      <c r="AO74" s="419"/>
      <c r="AP74" s="11">
        <f t="shared" si="45"/>
        <v>10474.799999999999</v>
      </c>
      <c r="AQ74" s="11">
        <f t="shared" si="46"/>
        <v>4225.4500000000007</v>
      </c>
      <c r="AR74" s="11">
        <f t="shared" si="53"/>
        <v>14700.25</v>
      </c>
      <c r="AS74" s="414">
        <f t="shared" si="61"/>
        <v>581.93333333333328</v>
      </c>
      <c r="AT74" s="414">
        <v>550</v>
      </c>
      <c r="AU74" s="11">
        <f t="shared" si="59"/>
        <v>349.16</v>
      </c>
      <c r="AV74" s="11"/>
      <c r="AW74" s="11"/>
      <c r="AX74" s="11"/>
      <c r="AY74" s="11">
        <f t="shared" si="50"/>
        <v>16181.343333333332</v>
      </c>
      <c r="AZ74" s="11"/>
      <c r="BA74" s="11">
        <f t="shared" si="47"/>
        <v>16181.343333333332</v>
      </c>
      <c r="BB74" s="11">
        <f t="shared" si="54"/>
        <v>6626.6566666666677</v>
      </c>
      <c r="BC74" s="11">
        <f t="shared" si="48"/>
        <v>34212</v>
      </c>
      <c r="BD74" s="11">
        <f t="shared" si="49"/>
        <v>410544</v>
      </c>
      <c r="BE74" s="5" t="s">
        <v>86</v>
      </c>
    </row>
    <row r="75" spans="1:57">
      <c r="A75" s="285" t="s">
        <v>62</v>
      </c>
      <c r="B75" s="284" t="s">
        <v>659</v>
      </c>
      <c r="C75" s="24">
        <f t="shared" si="58"/>
        <v>1</v>
      </c>
      <c r="D75" s="24"/>
      <c r="E75" s="24">
        <v>1</v>
      </c>
      <c r="F75" s="24"/>
      <c r="G75" s="24"/>
      <c r="H75" s="24"/>
      <c r="I75" s="24"/>
      <c r="J75" s="24"/>
      <c r="K75" s="24"/>
      <c r="L75" s="24"/>
      <c r="M75" s="24"/>
      <c r="N75" s="24"/>
      <c r="O75" s="24">
        <f t="shared" si="60"/>
        <v>1</v>
      </c>
      <c r="P75" s="24"/>
      <c r="Q75" s="24">
        <v>1</v>
      </c>
      <c r="R75" s="24"/>
      <c r="S75" s="24"/>
      <c r="T75" s="24"/>
      <c r="U75" s="24"/>
      <c r="V75" s="24"/>
      <c r="W75" s="24"/>
      <c r="X75" s="24"/>
      <c r="Y75" s="24"/>
      <c r="Z75" s="24"/>
      <c r="AA75" s="25">
        <v>8729</v>
      </c>
      <c r="AB75" s="12"/>
      <c r="AC75" s="13">
        <f t="shared" si="52"/>
        <v>8729</v>
      </c>
      <c r="AD75" s="416"/>
      <c r="AE75" s="417">
        <f>AC75*AE31</f>
        <v>872.90000000000009</v>
      </c>
      <c r="AF75" s="416"/>
      <c r="AG75" s="416"/>
      <c r="AH75" s="417"/>
      <c r="AI75" s="416"/>
      <c r="AJ75" s="416"/>
      <c r="AK75" s="416"/>
      <c r="AL75" s="416"/>
      <c r="AM75" s="419"/>
      <c r="AN75" s="419"/>
      <c r="AO75" s="419"/>
      <c r="AP75" s="11">
        <f t="shared" si="45"/>
        <v>9601.9</v>
      </c>
      <c r="AQ75" s="11">
        <f t="shared" si="46"/>
        <v>5098.3500000000004</v>
      </c>
      <c r="AR75" s="11">
        <f t="shared" si="53"/>
        <v>14700.25</v>
      </c>
      <c r="AS75" s="414">
        <f t="shared" si="61"/>
        <v>581.93333333333328</v>
      </c>
      <c r="AT75" s="414">
        <v>550</v>
      </c>
      <c r="AU75" s="11">
        <f t="shared" si="59"/>
        <v>349.16</v>
      </c>
      <c r="AV75" s="11"/>
      <c r="AW75" s="11"/>
      <c r="AX75" s="11"/>
      <c r="AY75" s="11">
        <f t="shared" si="50"/>
        <v>16181.343333333332</v>
      </c>
      <c r="AZ75" s="11"/>
      <c r="BA75" s="11">
        <f t="shared" si="47"/>
        <v>16181.343333333332</v>
      </c>
      <c r="BB75" s="11">
        <f t="shared" si="54"/>
        <v>6626.6566666666677</v>
      </c>
      <c r="BC75" s="11">
        <f t="shared" si="48"/>
        <v>34212</v>
      </c>
      <c r="BD75" s="11">
        <f t="shared" si="49"/>
        <v>410544</v>
      </c>
      <c r="BE75" s="5" t="s">
        <v>86</v>
      </c>
    </row>
    <row r="76" spans="1:57">
      <c r="A76" s="285" t="s">
        <v>62</v>
      </c>
      <c r="B76" s="284" t="s">
        <v>659</v>
      </c>
      <c r="C76" s="24">
        <f t="shared" si="58"/>
        <v>1</v>
      </c>
      <c r="D76" s="24"/>
      <c r="E76" s="24">
        <v>1</v>
      </c>
      <c r="F76" s="24"/>
      <c r="G76" s="24"/>
      <c r="H76" s="24"/>
      <c r="I76" s="24"/>
      <c r="J76" s="24"/>
      <c r="K76" s="24"/>
      <c r="L76" s="24"/>
      <c r="M76" s="24"/>
      <c r="N76" s="24"/>
      <c r="O76" s="24">
        <f t="shared" si="60"/>
        <v>1</v>
      </c>
      <c r="P76" s="24"/>
      <c r="Q76" s="24">
        <v>1</v>
      </c>
      <c r="R76" s="24"/>
      <c r="S76" s="24"/>
      <c r="T76" s="24"/>
      <c r="U76" s="24"/>
      <c r="V76" s="24"/>
      <c r="W76" s="24"/>
      <c r="X76" s="24"/>
      <c r="Y76" s="24"/>
      <c r="Z76" s="24"/>
      <c r="AA76" s="25">
        <v>8729</v>
      </c>
      <c r="AB76" s="12"/>
      <c r="AC76" s="13">
        <f t="shared" si="52"/>
        <v>8729</v>
      </c>
      <c r="AD76" s="416"/>
      <c r="AE76" s="417">
        <f>AC76*AE31</f>
        <v>872.90000000000009</v>
      </c>
      <c r="AF76" s="416"/>
      <c r="AG76" s="416"/>
      <c r="AH76" s="417"/>
      <c r="AI76" s="416"/>
      <c r="AJ76" s="416"/>
      <c r="AK76" s="416"/>
      <c r="AL76" s="416"/>
      <c r="AM76" s="419"/>
      <c r="AN76" s="419"/>
      <c r="AO76" s="419"/>
      <c r="AP76" s="11">
        <f t="shared" si="45"/>
        <v>9601.9</v>
      </c>
      <c r="AQ76" s="11">
        <f t="shared" si="46"/>
        <v>5098.3500000000004</v>
      </c>
      <c r="AR76" s="11">
        <f t="shared" si="53"/>
        <v>14700.25</v>
      </c>
      <c r="AS76" s="414">
        <f t="shared" si="61"/>
        <v>581.93333333333328</v>
      </c>
      <c r="AT76" s="414">
        <v>550</v>
      </c>
      <c r="AU76" s="11">
        <f t="shared" si="59"/>
        <v>349.16</v>
      </c>
      <c r="AV76" s="11"/>
      <c r="AW76" s="11"/>
      <c r="AX76" s="11"/>
      <c r="AY76" s="11">
        <f t="shared" si="50"/>
        <v>16181.343333333332</v>
      </c>
      <c r="AZ76" s="11"/>
      <c r="BA76" s="11">
        <f t="shared" si="47"/>
        <v>16181.343333333332</v>
      </c>
      <c r="BB76" s="11">
        <f t="shared" si="54"/>
        <v>6626.6566666666677</v>
      </c>
      <c r="BC76" s="11">
        <f t="shared" si="48"/>
        <v>34212</v>
      </c>
      <c r="BD76" s="11">
        <f t="shared" si="49"/>
        <v>410544</v>
      </c>
      <c r="BE76" s="5" t="s">
        <v>86</v>
      </c>
    </row>
    <row r="77" spans="1:57">
      <c r="A77" s="285" t="s">
        <v>62</v>
      </c>
      <c r="B77" s="284" t="s">
        <v>659</v>
      </c>
      <c r="C77" s="24">
        <f t="shared" si="58"/>
        <v>1</v>
      </c>
      <c r="D77" s="24"/>
      <c r="E77" s="24">
        <v>1</v>
      </c>
      <c r="F77" s="24"/>
      <c r="G77" s="24"/>
      <c r="H77" s="24"/>
      <c r="I77" s="24"/>
      <c r="J77" s="24"/>
      <c r="K77" s="24"/>
      <c r="L77" s="24"/>
      <c r="M77" s="24"/>
      <c r="N77" s="24"/>
      <c r="O77" s="24">
        <f t="shared" si="60"/>
        <v>1</v>
      </c>
      <c r="P77" s="24"/>
      <c r="Q77" s="24">
        <v>1</v>
      </c>
      <c r="R77" s="24"/>
      <c r="S77" s="24"/>
      <c r="T77" s="24"/>
      <c r="U77" s="24"/>
      <c r="V77" s="24"/>
      <c r="W77" s="24"/>
      <c r="X77" s="24"/>
      <c r="Y77" s="24"/>
      <c r="Z77" s="24"/>
      <c r="AA77" s="25">
        <v>8729</v>
      </c>
      <c r="AB77" s="12"/>
      <c r="AC77" s="13">
        <f t="shared" si="52"/>
        <v>8729</v>
      </c>
      <c r="AD77" s="417">
        <f>AC77*AD31</f>
        <v>436.45000000000005</v>
      </c>
      <c r="AE77" s="416"/>
      <c r="AF77" s="416"/>
      <c r="AG77" s="416"/>
      <c r="AH77" s="417"/>
      <c r="AI77" s="416"/>
      <c r="AJ77" s="416"/>
      <c r="AK77" s="416"/>
      <c r="AL77" s="416"/>
      <c r="AM77" s="419"/>
      <c r="AN77" s="419"/>
      <c r="AO77" s="419"/>
      <c r="AP77" s="11">
        <f t="shared" si="45"/>
        <v>9165.4500000000007</v>
      </c>
      <c r="AQ77" s="11">
        <f t="shared" si="46"/>
        <v>5534.7999999999993</v>
      </c>
      <c r="AR77" s="11">
        <f t="shared" si="53"/>
        <v>14700.25</v>
      </c>
      <c r="AS77" s="414">
        <f t="shared" si="61"/>
        <v>581.93333333333328</v>
      </c>
      <c r="AT77" s="414">
        <v>550</v>
      </c>
      <c r="AU77" s="11">
        <f t="shared" si="59"/>
        <v>349.16</v>
      </c>
      <c r="AV77" s="11"/>
      <c r="AW77" s="11"/>
      <c r="AX77" s="11"/>
      <c r="AY77" s="11">
        <f t="shared" si="50"/>
        <v>16181.343333333332</v>
      </c>
      <c r="AZ77" s="11"/>
      <c r="BA77" s="11">
        <f t="shared" si="47"/>
        <v>16181.343333333332</v>
      </c>
      <c r="BB77" s="11">
        <f t="shared" si="54"/>
        <v>6626.6566666666677</v>
      </c>
      <c r="BC77" s="11">
        <f t="shared" si="48"/>
        <v>34212</v>
      </c>
      <c r="BD77" s="11">
        <f t="shared" si="49"/>
        <v>410544</v>
      </c>
      <c r="BE77" s="5" t="s">
        <v>86</v>
      </c>
    </row>
    <row r="78" spans="1:57">
      <c r="A78" s="285" t="s">
        <v>62</v>
      </c>
      <c r="B78" s="284" t="s">
        <v>659</v>
      </c>
      <c r="C78" s="24">
        <f t="shared" si="58"/>
        <v>1</v>
      </c>
      <c r="D78" s="24"/>
      <c r="E78" s="24">
        <v>1</v>
      </c>
      <c r="F78" s="24"/>
      <c r="G78" s="24"/>
      <c r="H78" s="24"/>
      <c r="I78" s="24"/>
      <c r="J78" s="24"/>
      <c r="K78" s="24"/>
      <c r="L78" s="24"/>
      <c r="M78" s="24"/>
      <c r="N78" s="24"/>
      <c r="O78" s="24">
        <f t="shared" si="60"/>
        <v>1</v>
      </c>
      <c r="P78" s="24"/>
      <c r="Q78" s="24">
        <v>1</v>
      </c>
      <c r="R78" s="24"/>
      <c r="S78" s="24"/>
      <c r="T78" s="24"/>
      <c r="U78" s="24"/>
      <c r="V78" s="24"/>
      <c r="W78" s="24"/>
      <c r="X78" s="24"/>
      <c r="Y78" s="24"/>
      <c r="Z78" s="24"/>
      <c r="AA78" s="25">
        <v>8729</v>
      </c>
      <c r="AB78" s="12"/>
      <c r="AC78" s="13">
        <f t="shared" si="52"/>
        <v>8729</v>
      </c>
      <c r="AD78" s="416"/>
      <c r="AE78" s="416"/>
      <c r="AF78" s="417">
        <f>AC78*AF31</f>
        <v>1309.3499999999999</v>
      </c>
      <c r="AG78" s="416"/>
      <c r="AH78" s="417"/>
      <c r="AI78" s="416"/>
      <c r="AJ78" s="416"/>
      <c r="AK78" s="416"/>
      <c r="AL78" s="416"/>
      <c r="AM78" s="419"/>
      <c r="AN78" s="419"/>
      <c r="AO78" s="419"/>
      <c r="AP78" s="11">
        <f t="shared" si="45"/>
        <v>10038.35</v>
      </c>
      <c r="AQ78" s="11">
        <f t="shared" si="46"/>
        <v>4661.8999999999996</v>
      </c>
      <c r="AR78" s="11">
        <f t="shared" si="53"/>
        <v>14700.25</v>
      </c>
      <c r="AS78" s="414">
        <f t="shared" si="61"/>
        <v>581.93333333333328</v>
      </c>
      <c r="AT78" s="414">
        <v>550</v>
      </c>
      <c r="AU78" s="11">
        <f t="shared" si="59"/>
        <v>349.16</v>
      </c>
      <c r="AV78" s="11"/>
      <c r="AW78" s="11"/>
      <c r="AX78" s="11"/>
      <c r="AY78" s="11">
        <f t="shared" si="50"/>
        <v>16181.343333333332</v>
      </c>
      <c r="AZ78" s="11"/>
      <c r="BA78" s="11">
        <f t="shared" si="47"/>
        <v>16181.343333333332</v>
      </c>
      <c r="BB78" s="11">
        <f t="shared" si="54"/>
        <v>6626.6566666666677</v>
      </c>
      <c r="BC78" s="11">
        <f t="shared" si="48"/>
        <v>34212</v>
      </c>
      <c r="BD78" s="11">
        <f t="shared" si="49"/>
        <v>410544</v>
      </c>
      <c r="BE78" s="5" t="s">
        <v>86</v>
      </c>
    </row>
    <row r="79" spans="1:57">
      <c r="A79" s="285" t="s">
        <v>62</v>
      </c>
      <c r="B79" s="284" t="s">
        <v>659</v>
      </c>
      <c r="C79" s="24">
        <f t="shared" si="58"/>
        <v>1</v>
      </c>
      <c r="D79" s="24"/>
      <c r="E79" s="24">
        <v>1</v>
      </c>
      <c r="F79" s="24"/>
      <c r="G79" s="24"/>
      <c r="H79" s="24"/>
      <c r="I79" s="24"/>
      <c r="J79" s="24"/>
      <c r="K79" s="24"/>
      <c r="L79" s="24"/>
      <c r="M79" s="24"/>
      <c r="N79" s="24"/>
      <c r="O79" s="24">
        <f t="shared" si="60"/>
        <v>1</v>
      </c>
      <c r="P79" s="24"/>
      <c r="Q79" s="24">
        <v>1</v>
      </c>
      <c r="R79" s="24"/>
      <c r="S79" s="24"/>
      <c r="T79" s="24"/>
      <c r="U79" s="24"/>
      <c r="V79" s="24"/>
      <c r="W79" s="24"/>
      <c r="X79" s="24"/>
      <c r="Y79" s="24"/>
      <c r="Z79" s="24"/>
      <c r="AA79" s="25">
        <v>8729</v>
      </c>
      <c r="AB79" s="12"/>
      <c r="AC79" s="13">
        <f t="shared" si="52"/>
        <v>8729</v>
      </c>
      <c r="AD79" s="416"/>
      <c r="AE79" s="416"/>
      <c r="AF79" s="417">
        <f>AC79*AF31</f>
        <v>1309.3499999999999</v>
      </c>
      <c r="AG79" s="416"/>
      <c r="AH79" s="417"/>
      <c r="AI79" s="416"/>
      <c r="AJ79" s="416"/>
      <c r="AK79" s="416"/>
      <c r="AL79" s="416"/>
      <c r="AM79" s="419"/>
      <c r="AN79" s="419"/>
      <c r="AO79" s="419"/>
      <c r="AP79" s="11">
        <f t="shared" si="45"/>
        <v>10038.35</v>
      </c>
      <c r="AQ79" s="11">
        <f t="shared" si="46"/>
        <v>4661.8999999999996</v>
      </c>
      <c r="AR79" s="11">
        <f t="shared" si="53"/>
        <v>14700.25</v>
      </c>
      <c r="AS79" s="414">
        <f t="shared" si="61"/>
        <v>581.93333333333328</v>
      </c>
      <c r="AT79" s="414">
        <v>550</v>
      </c>
      <c r="AU79" s="11">
        <f t="shared" si="59"/>
        <v>349.16</v>
      </c>
      <c r="AV79" s="11"/>
      <c r="AW79" s="11"/>
      <c r="AX79" s="11"/>
      <c r="AY79" s="11">
        <f t="shared" si="50"/>
        <v>16181.343333333332</v>
      </c>
      <c r="AZ79" s="11"/>
      <c r="BA79" s="11">
        <f t="shared" si="47"/>
        <v>16181.343333333332</v>
      </c>
      <c r="BB79" s="11">
        <f t="shared" si="54"/>
        <v>6626.6566666666677</v>
      </c>
      <c r="BC79" s="11">
        <f t="shared" si="48"/>
        <v>34212</v>
      </c>
      <c r="BD79" s="11">
        <f t="shared" si="49"/>
        <v>410544</v>
      </c>
      <c r="BE79" s="5" t="s">
        <v>86</v>
      </c>
    </row>
    <row r="80" spans="1:57">
      <c r="A80" s="285" t="s">
        <v>62</v>
      </c>
      <c r="B80" s="284" t="s">
        <v>659</v>
      </c>
      <c r="C80" s="24">
        <f t="shared" si="58"/>
        <v>1</v>
      </c>
      <c r="D80" s="24"/>
      <c r="E80" s="24">
        <v>1</v>
      </c>
      <c r="F80" s="24"/>
      <c r="G80" s="24"/>
      <c r="H80" s="24"/>
      <c r="I80" s="24"/>
      <c r="J80" s="24"/>
      <c r="K80" s="24"/>
      <c r="L80" s="24"/>
      <c r="M80" s="24"/>
      <c r="N80" s="24"/>
      <c r="O80" s="24">
        <f t="shared" si="60"/>
        <v>1</v>
      </c>
      <c r="P80" s="24"/>
      <c r="Q80" s="24">
        <v>1</v>
      </c>
      <c r="R80" s="24"/>
      <c r="S80" s="24"/>
      <c r="T80" s="24"/>
      <c r="U80" s="24"/>
      <c r="V80" s="24"/>
      <c r="W80" s="24"/>
      <c r="X80" s="24"/>
      <c r="Y80" s="24"/>
      <c r="Z80" s="24"/>
      <c r="AA80" s="25">
        <v>8729</v>
      </c>
      <c r="AB80" s="12"/>
      <c r="AC80" s="13">
        <f t="shared" si="52"/>
        <v>8729</v>
      </c>
      <c r="AD80" s="416"/>
      <c r="AE80" s="417">
        <f>AC80*AE31</f>
        <v>872.90000000000009</v>
      </c>
      <c r="AF80" s="416"/>
      <c r="AG80" s="416"/>
      <c r="AH80" s="417"/>
      <c r="AI80" s="416"/>
      <c r="AJ80" s="416"/>
      <c r="AK80" s="416"/>
      <c r="AL80" s="416"/>
      <c r="AM80" s="419"/>
      <c r="AN80" s="419"/>
      <c r="AO80" s="419"/>
      <c r="AP80" s="11">
        <f t="shared" si="45"/>
        <v>9601.9</v>
      </c>
      <c r="AQ80" s="11">
        <f t="shared" si="46"/>
        <v>5098.3500000000004</v>
      </c>
      <c r="AR80" s="11">
        <f t="shared" si="53"/>
        <v>14700.25</v>
      </c>
      <c r="AS80" s="414">
        <f t="shared" si="61"/>
        <v>581.93333333333328</v>
      </c>
      <c r="AT80" s="414">
        <v>550</v>
      </c>
      <c r="AU80" s="11">
        <f t="shared" si="59"/>
        <v>349.16</v>
      </c>
      <c r="AV80" s="11"/>
      <c r="AW80" s="11"/>
      <c r="AX80" s="11"/>
      <c r="AY80" s="11">
        <f t="shared" si="50"/>
        <v>16181.343333333332</v>
      </c>
      <c r="AZ80" s="11"/>
      <c r="BA80" s="11">
        <f t="shared" si="47"/>
        <v>16181.343333333332</v>
      </c>
      <c r="BB80" s="11">
        <f t="shared" si="54"/>
        <v>6626.6566666666677</v>
      </c>
      <c r="BC80" s="11">
        <f t="shared" si="48"/>
        <v>34212</v>
      </c>
      <c r="BD80" s="11">
        <f t="shared" si="49"/>
        <v>410544</v>
      </c>
      <c r="BE80" s="5" t="s">
        <v>86</v>
      </c>
    </row>
    <row r="81" spans="1:57">
      <c r="A81" s="285" t="s">
        <v>62</v>
      </c>
      <c r="B81" s="284" t="s">
        <v>659</v>
      </c>
      <c r="C81" s="24">
        <f t="shared" si="58"/>
        <v>1</v>
      </c>
      <c r="D81" s="24"/>
      <c r="E81" s="24">
        <v>1</v>
      </c>
      <c r="F81" s="24"/>
      <c r="G81" s="24"/>
      <c r="H81" s="24"/>
      <c r="I81" s="24"/>
      <c r="J81" s="24"/>
      <c r="K81" s="24"/>
      <c r="L81" s="24"/>
      <c r="M81" s="24"/>
      <c r="N81" s="24"/>
      <c r="O81" s="24">
        <f t="shared" si="60"/>
        <v>1</v>
      </c>
      <c r="P81" s="24"/>
      <c r="Q81" s="24">
        <v>1</v>
      </c>
      <c r="R81" s="24"/>
      <c r="S81" s="24"/>
      <c r="T81" s="24"/>
      <c r="U81" s="24"/>
      <c r="V81" s="24"/>
      <c r="W81" s="24"/>
      <c r="X81" s="24"/>
      <c r="Y81" s="24"/>
      <c r="Z81" s="24"/>
      <c r="AA81" s="25">
        <v>8729</v>
      </c>
      <c r="AB81" s="12"/>
      <c r="AC81" s="13">
        <f t="shared" si="52"/>
        <v>8729</v>
      </c>
      <c r="AD81" s="416"/>
      <c r="AE81" s="417">
        <f>AC81*AE31</f>
        <v>872.90000000000009</v>
      </c>
      <c r="AF81" s="416"/>
      <c r="AG81" s="416"/>
      <c r="AH81" s="417"/>
      <c r="AI81" s="416"/>
      <c r="AJ81" s="416"/>
      <c r="AK81" s="416"/>
      <c r="AL81" s="416"/>
      <c r="AM81" s="419"/>
      <c r="AN81" s="419"/>
      <c r="AO81" s="419"/>
      <c r="AP81" s="11">
        <f t="shared" si="45"/>
        <v>9601.9</v>
      </c>
      <c r="AQ81" s="11">
        <f t="shared" si="46"/>
        <v>5098.3500000000004</v>
      </c>
      <c r="AR81" s="11">
        <f t="shared" si="53"/>
        <v>14700.25</v>
      </c>
      <c r="AS81" s="414">
        <f t="shared" si="61"/>
        <v>581.93333333333328</v>
      </c>
      <c r="AT81" s="414">
        <v>550</v>
      </c>
      <c r="AU81" s="11">
        <f t="shared" si="59"/>
        <v>349.16</v>
      </c>
      <c r="AV81" s="11"/>
      <c r="AW81" s="11"/>
      <c r="AX81" s="11"/>
      <c r="AY81" s="11">
        <f t="shared" si="50"/>
        <v>16181.343333333332</v>
      </c>
      <c r="AZ81" s="11"/>
      <c r="BA81" s="11">
        <f t="shared" si="47"/>
        <v>16181.343333333332</v>
      </c>
      <c r="BB81" s="11">
        <f t="shared" si="54"/>
        <v>6626.6566666666677</v>
      </c>
      <c r="BC81" s="11">
        <f t="shared" si="48"/>
        <v>34212</v>
      </c>
      <c r="BD81" s="11">
        <f t="shared" si="49"/>
        <v>410544</v>
      </c>
      <c r="BE81" s="5" t="s">
        <v>86</v>
      </c>
    </row>
    <row r="82" spans="1:57">
      <c r="A82" s="285" t="s">
        <v>62</v>
      </c>
      <c r="B82" s="284" t="s">
        <v>659</v>
      </c>
      <c r="C82" s="24">
        <f t="shared" si="58"/>
        <v>1</v>
      </c>
      <c r="D82" s="24"/>
      <c r="E82" s="24">
        <v>1</v>
      </c>
      <c r="F82" s="24"/>
      <c r="G82" s="24"/>
      <c r="H82" s="24"/>
      <c r="I82" s="24"/>
      <c r="J82" s="24"/>
      <c r="K82" s="24"/>
      <c r="L82" s="24"/>
      <c r="M82" s="24"/>
      <c r="N82" s="24"/>
      <c r="O82" s="24">
        <f t="shared" si="60"/>
        <v>1</v>
      </c>
      <c r="P82" s="24"/>
      <c r="Q82" s="24">
        <v>1</v>
      </c>
      <c r="R82" s="24"/>
      <c r="S82" s="24"/>
      <c r="T82" s="24"/>
      <c r="U82" s="24"/>
      <c r="V82" s="24"/>
      <c r="W82" s="24"/>
      <c r="X82" s="24"/>
      <c r="Y82" s="24"/>
      <c r="Z82" s="24"/>
      <c r="AA82" s="25">
        <v>8729</v>
      </c>
      <c r="AB82" s="12"/>
      <c r="AC82" s="13">
        <f t="shared" si="52"/>
        <v>8729</v>
      </c>
      <c r="AD82" s="416"/>
      <c r="AE82" s="417">
        <f>AC82*AE31</f>
        <v>872.90000000000009</v>
      </c>
      <c r="AF82" s="416"/>
      <c r="AG82" s="416"/>
      <c r="AH82" s="417"/>
      <c r="AI82" s="416"/>
      <c r="AJ82" s="416"/>
      <c r="AK82" s="416"/>
      <c r="AL82" s="416"/>
      <c r="AM82" s="419"/>
      <c r="AN82" s="419"/>
      <c r="AO82" s="419"/>
      <c r="AP82" s="11">
        <f t="shared" si="45"/>
        <v>9601.9</v>
      </c>
      <c r="AQ82" s="11">
        <f t="shared" si="46"/>
        <v>5098.3500000000004</v>
      </c>
      <c r="AR82" s="11">
        <f t="shared" si="53"/>
        <v>14700.25</v>
      </c>
      <c r="AS82" s="414">
        <f t="shared" si="61"/>
        <v>581.93333333333328</v>
      </c>
      <c r="AT82" s="414">
        <v>550</v>
      </c>
      <c r="AU82" s="11">
        <f t="shared" si="59"/>
        <v>349.16</v>
      </c>
      <c r="AV82" s="11"/>
      <c r="AW82" s="11"/>
      <c r="AX82" s="11"/>
      <c r="AY82" s="11">
        <f t="shared" si="50"/>
        <v>16181.343333333332</v>
      </c>
      <c r="AZ82" s="11"/>
      <c r="BA82" s="11">
        <f t="shared" si="47"/>
        <v>16181.343333333332</v>
      </c>
      <c r="BB82" s="11">
        <f t="shared" si="54"/>
        <v>6626.6566666666677</v>
      </c>
      <c r="BC82" s="11">
        <f t="shared" si="48"/>
        <v>34212</v>
      </c>
      <c r="BD82" s="11">
        <f t="shared" si="49"/>
        <v>410544</v>
      </c>
      <c r="BE82" s="5" t="s">
        <v>86</v>
      </c>
    </row>
    <row r="83" spans="1:57">
      <c r="A83" s="285" t="s">
        <v>62</v>
      </c>
      <c r="B83" s="284" t="s">
        <v>659</v>
      </c>
      <c r="C83" s="24">
        <f t="shared" si="58"/>
        <v>1</v>
      </c>
      <c r="D83" s="24"/>
      <c r="E83" s="24">
        <v>1</v>
      </c>
      <c r="F83" s="24"/>
      <c r="G83" s="24"/>
      <c r="H83" s="24"/>
      <c r="I83" s="24"/>
      <c r="J83" s="24"/>
      <c r="K83" s="24"/>
      <c r="L83" s="24"/>
      <c r="M83" s="24"/>
      <c r="N83" s="24"/>
      <c r="O83" s="24">
        <f t="shared" si="60"/>
        <v>1</v>
      </c>
      <c r="P83" s="24"/>
      <c r="Q83" s="24">
        <v>1</v>
      </c>
      <c r="R83" s="24"/>
      <c r="S83" s="24"/>
      <c r="T83" s="24"/>
      <c r="U83" s="24"/>
      <c r="V83" s="24"/>
      <c r="W83" s="24"/>
      <c r="X83" s="24"/>
      <c r="Y83" s="24"/>
      <c r="Z83" s="24"/>
      <c r="AA83" s="25">
        <v>8729</v>
      </c>
      <c r="AB83" s="12"/>
      <c r="AC83" s="13">
        <f t="shared" si="52"/>
        <v>8729</v>
      </c>
      <c r="AD83" s="417">
        <f>AC83*AD31</f>
        <v>436.45000000000005</v>
      </c>
      <c r="AE83" s="416"/>
      <c r="AF83" s="416"/>
      <c r="AG83" s="416"/>
      <c r="AH83" s="417"/>
      <c r="AI83" s="416"/>
      <c r="AJ83" s="416"/>
      <c r="AK83" s="416"/>
      <c r="AL83" s="416"/>
      <c r="AM83" s="419"/>
      <c r="AN83" s="419"/>
      <c r="AO83" s="419"/>
      <c r="AP83" s="11">
        <f t="shared" si="45"/>
        <v>9165.4500000000007</v>
      </c>
      <c r="AQ83" s="11">
        <f t="shared" si="46"/>
        <v>5534.7999999999993</v>
      </c>
      <c r="AR83" s="11">
        <f t="shared" si="53"/>
        <v>14700.25</v>
      </c>
      <c r="AS83" s="414">
        <f t="shared" si="61"/>
        <v>581.93333333333328</v>
      </c>
      <c r="AT83" s="414">
        <v>550</v>
      </c>
      <c r="AU83" s="11">
        <f t="shared" si="59"/>
        <v>349.16</v>
      </c>
      <c r="AV83" s="11"/>
      <c r="AW83" s="11"/>
      <c r="AX83" s="11"/>
      <c r="AY83" s="11">
        <f t="shared" si="50"/>
        <v>16181.343333333332</v>
      </c>
      <c r="AZ83" s="11"/>
      <c r="BA83" s="11">
        <f t="shared" si="47"/>
        <v>16181.343333333332</v>
      </c>
      <c r="BB83" s="11">
        <f t="shared" si="54"/>
        <v>6626.6566666666677</v>
      </c>
      <c r="BC83" s="11">
        <f t="shared" si="48"/>
        <v>34212</v>
      </c>
      <c r="BD83" s="11">
        <f t="shared" si="49"/>
        <v>410544</v>
      </c>
      <c r="BE83" s="5" t="s">
        <v>86</v>
      </c>
    </row>
    <row r="84" spans="1:57">
      <c r="A84" s="285" t="s">
        <v>62</v>
      </c>
      <c r="B84" s="284" t="s">
        <v>659</v>
      </c>
      <c r="C84" s="24">
        <f t="shared" si="58"/>
        <v>1</v>
      </c>
      <c r="D84" s="24"/>
      <c r="E84" s="24">
        <v>1</v>
      </c>
      <c r="F84" s="24"/>
      <c r="G84" s="24"/>
      <c r="H84" s="24"/>
      <c r="I84" s="24"/>
      <c r="J84" s="24"/>
      <c r="K84" s="24"/>
      <c r="L84" s="24"/>
      <c r="M84" s="24"/>
      <c r="N84" s="24"/>
      <c r="O84" s="24">
        <f t="shared" si="60"/>
        <v>1</v>
      </c>
      <c r="P84" s="24"/>
      <c r="Q84" s="24">
        <v>1</v>
      </c>
      <c r="R84" s="24"/>
      <c r="S84" s="24"/>
      <c r="T84" s="24"/>
      <c r="U84" s="24"/>
      <c r="V84" s="24"/>
      <c r="W84" s="24"/>
      <c r="X84" s="24"/>
      <c r="Y84" s="24"/>
      <c r="Z84" s="24"/>
      <c r="AA84" s="25">
        <v>8729</v>
      </c>
      <c r="AB84" s="12"/>
      <c r="AC84" s="13">
        <f t="shared" si="52"/>
        <v>8729</v>
      </c>
      <c r="AD84" s="417">
        <f>AC84*AD31</f>
        <v>436.45000000000005</v>
      </c>
      <c r="AE84" s="416"/>
      <c r="AF84" s="416"/>
      <c r="AG84" s="416"/>
      <c r="AH84" s="417"/>
      <c r="AI84" s="416"/>
      <c r="AJ84" s="416"/>
      <c r="AK84" s="416"/>
      <c r="AL84" s="416"/>
      <c r="AM84" s="419"/>
      <c r="AN84" s="419"/>
      <c r="AO84" s="419"/>
      <c r="AP84" s="11">
        <f t="shared" si="45"/>
        <v>9165.4500000000007</v>
      </c>
      <c r="AQ84" s="11">
        <f t="shared" si="46"/>
        <v>5534.7999999999993</v>
      </c>
      <c r="AR84" s="11">
        <f t="shared" si="53"/>
        <v>14700.25</v>
      </c>
      <c r="AS84" s="414">
        <f t="shared" si="61"/>
        <v>581.93333333333328</v>
      </c>
      <c r="AT84" s="414">
        <v>550</v>
      </c>
      <c r="AU84" s="11">
        <f t="shared" si="59"/>
        <v>349.16</v>
      </c>
      <c r="AV84" s="11"/>
      <c r="AW84" s="11"/>
      <c r="AX84" s="11"/>
      <c r="AY84" s="11">
        <f t="shared" si="50"/>
        <v>16181.343333333332</v>
      </c>
      <c r="AZ84" s="11"/>
      <c r="BA84" s="11">
        <f t="shared" si="47"/>
        <v>16181.343333333332</v>
      </c>
      <c r="BB84" s="11">
        <f t="shared" si="54"/>
        <v>6626.6566666666677</v>
      </c>
      <c r="BC84" s="11">
        <f t="shared" si="48"/>
        <v>34212</v>
      </c>
      <c r="BD84" s="11">
        <f t="shared" si="49"/>
        <v>410544</v>
      </c>
      <c r="BE84" s="5" t="s">
        <v>86</v>
      </c>
    </row>
    <row r="85" spans="1:57">
      <c r="A85" s="285" t="s">
        <v>62</v>
      </c>
      <c r="B85" s="284" t="s">
        <v>659</v>
      </c>
      <c r="C85" s="24">
        <f t="shared" si="58"/>
        <v>1</v>
      </c>
      <c r="D85" s="24"/>
      <c r="E85" s="24">
        <v>1</v>
      </c>
      <c r="F85" s="24"/>
      <c r="G85" s="24"/>
      <c r="H85" s="24"/>
      <c r="I85" s="24"/>
      <c r="J85" s="24"/>
      <c r="K85" s="24"/>
      <c r="L85" s="24"/>
      <c r="M85" s="24"/>
      <c r="N85" s="24"/>
      <c r="O85" s="24">
        <f t="shared" si="60"/>
        <v>1</v>
      </c>
      <c r="P85" s="24"/>
      <c r="Q85" s="24">
        <v>1</v>
      </c>
      <c r="R85" s="24"/>
      <c r="S85" s="24"/>
      <c r="T85" s="24"/>
      <c r="U85" s="24"/>
      <c r="V85" s="24"/>
      <c r="W85" s="24"/>
      <c r="X85" s="24"/>
      <c r="Y85" s="24"/>
      <c r="Z85" s="24"/>
      <c r="AA85" s="25">
        <v>8729</v>
      </c>
      <c r="AB85" s="12"/>
      <c r="AC85" s="13">
        <f t="shared" si="52"/>
        <v>8729</v>
      </c>
      <c r="AD85" s="417">
        <f>AC85*AD31</f>
        <v>436.45000000000005</v>
      </c>
      <c r="AE85" s="416"/>
      <c r="AF85" s="416"/>
      <c r="AG85" s="416"/>
      <c r="AH85" s="417"/>
      <c r="AI85" s="416"/>
      <c r="AJ85" s="416"/>
      <c r="AK85" s="416"/>
      <c r="AL85" s="416"/>
      <c r="AM85" s="419"/>
      <c r="AN85" s="419"/>
      <c r="AO85" s="419"/>
      <c r="AP85" s="11">
        <f t="shared" si="45"/>
        <v>9165.4500000000007</v>
      </c>
      <c r="AQ85" s="11">
        <f t="shared" si="46"/>
        <v>5534.7999999999993</v>
      </c>
      <c r="AR85" s="11">
        <f t="shared" si="53"/>
        <v>14700.25</v>
      </c>
      <c r="AS85" s="414">
        <f t="shared" si="61"/>
        <v>581.93333333333328</v>
      </c>
      <c r="AT85" s="414">
        <v>550</v>
      </c>
      <c r="AU85" s="11">
        <f t="shared" si="59"/>
        <v>349.16</v>
      </c>
      <c r="AV85" s="11"/>
      <c r="AW85" s="11"/>
      <c r="AX85" s="11"/>
      <c r="AY85" s="11">
        <f t="shared" si="50"/>
        <v>16181.343333333332</v>
      </c>
      <c r="AZ85" s="11"/>
      <c r="BA85" s="11">
        <f t="shared" si="47"/>
        <v>16181.343333333332</v>
      </c>
      <c r="BB85" s="11">
        <f t="shared" si="54"/>
        <v>6626.6566666666677</v>
      </c>
      <c r="BC85" s="11">
        <f t="shared" si="48"/>
        <v>34212</v>
      </c>
      <c r="BD85" s="11">
        <f t="shared" si="49"/>
        <v>410544</v>
      </c>
      <c r="BE85" s="5" t="s">
        <v>86</v>
      </c>
    </row>
    <row r="86" spans="1:57">
      <c r="A86" s="285" t="s">
        <v>62</v>
      </c>
      <c r="B86" s="284" t="s">
        <v>659</v>
      </c>
      <c r="C86" s="24">
        <f t="shared" si="58"/>
        <v>1</v>
      </c>
      <c r="D86" s="24"/>
      <c r="E86" s="24">
        <v>1</v>
      </c>
      <c r="F86" s="24"/>
      <c r="G86" s="24"/>
      <c r="H86" s="24"/>
      <c r="I86" s="24"/>
      <c r="J86" s="24"/>
      <c r="K86" s="24"/>
      <c r="L86" s="24"/>
      <c r="M86" s="24"/>
      <c r="N86" s="24"/>
      <c r="O86" s="24">
        <f t="shared" si="60"/>
        <v>1</v>
      </c>
      <c r="P86" s="24"/>
      <c r="Q86" s="24">
        <v>1</v>
      </c>
      <c r="R86" s="24"/>
      <c r="S86" s="24"/>
      <c r="T86" s="24"/>
      <c r="U86" s="24"/>
      <c r="V86" s="24"/>
      <c r="W86" s="24"/>
      <c r="X86" s="24"/>
      <c r="Y86" s="24"/>
      <c r="Z86" s="24"/>
      <c r="AA86" s="25">
        <v>8729</v>
      </c>
      <c r="AB86" s="12"/>
      <c r="AC86" s="13">
        <f t="shared" si="52"/>
        <v>8729</v>
      </c>
      <c r="AD86" s="416"/>
      <c r="AE86" s="416"/>
      <c r="AF86" s="416"/>
      <c r="AG86" s="417">
        <f>AC86*AG31</f>
        <v>1745.8000000000002</v>
      </c>
      <c r="AH86" s="417"/>
      <c r="AI86" s="416"/>
      <c r="AJ86" s="416"/>
      <c r="AK86" s="416"/>
      <c r="AL86" s="416"/>
      <c r="AM86" s="419"/>
      <c r="AN86" s="419"/>
      <c r="AO86" s="419"/>
      <c r="AP86" s="11">
        <f t="shared" si="45"/>
        <v>10474.799999999999</v>
      </c>
      <c r="AQ86" s="11">
        <f t="shared" si="46"/>
        <v>4225.4500000000007</v>
      </c>
      <c r="AR86" s="11">
        <f t="shared" si="53"/>
        <v>14700.25</v>
      </c>
      <c r="AS86" s="414">
        <f t="shared" si="61"/>
        <v>581.93333333333328</v>
      </c>
      <c r="AT86" s="414">
        <v>550</v>
      </c>
      <c r="AU86" s="11">
        <f t="shared" si="59"/>
        <v>349.16</v>
      </c>
      <c r="AV86" s="11"/>
      <c r="AW86" s="11"/>
      <c r="AX86" s="11"/>
      <c r="AY86" s="11">
        <f t="shared" si="50"/>
        <v>16181.343333333332</v>
      </c>
      <c r="AZ86" s="11"/>
      <c r="BA86" s="11">
        <f t="shared" si="47"/>
        <v>16181.343333333332</v>
      </c>
      <c r="BB86" s="11">
        <f t="shared" si="54"/>
        <v>6626.6566666666677</v>
      </c>
      <c r="BC86" s="11">
        <f t="shared" si="48"/>
        <v>34212</v>
      </c>
      <c r="BD86" s="11">
        <f t="shared" si="49"/>
        <v>410544</v>
      </c>
      <c r="BE86" s="5" t="s">
        <v>86</v>
      </c>
    </row>
    <row r="87" spans="1:57">
      <c r="A87" s="285" t="s">
        <v>62</v>
      </c>
      <c r="B87" s="284" t="s">
        <v>659</v>
      </c>
      <c r="C87" s="24">
        <f t="shared" si="58"/>
        <v>1</v>
      </c>
      <c r="D87" s="24"/>
      <c r="E87" s="24">
        <v>1</v>
      </c>
      <c r="F87" s="24"/>
      <c r="G87" s="24"/>
      <c r="H87" s="24"/>
      <c r="I87" s="24"/>
      <c r="J87" s="24"/>
      <c r="K87" s="24"/>
      <c r="L87" s="24"/>
      <c r="M87" s="24"/>
      <c r="N87" s="24"/>
      <c r="O87" s="24">
        <f t="shared" si="60"/>
        <v>1</v>
      </c>
      <c r="P87" s="24"/>
      <c r="Q87" s="24">
        <v>1</v>
      </c>
      <c r="R87" s="24"/>
      <c r="S87" s="24"/>
      <c r="T87" s="24"/>
      <c r="U87" s="24"/>
      <c r="V87" s="24"/>
      <c r="W87" s="24"/>
      <c r="X87" s="24"/>
      <c r="Y87" s="24"/>
      <c r="Z87" s="24"/>
      <c r="AA87" s="25">
        <v>8729</v>
      </c>
      <c r="AB87" s="12"/>
      <c r="AC87" s="13">
        <f t="shared" si="52"/>
        <v>8729</v>
      </c>
      <c r="AD87" s="416"/>
      <c r="AE87" s="416"/>
      <c r="AF87" s="416"/>
      <c r="AG87" s="417">
        <f>AC87*AG31</f>
        <v>1745.8000000000002</v>
      </c>
      <c r="AH87" s="417"/>
      <c r="AI87" s="416"/>
      <c r="AJ87" s="416"/>
      <c r="AK87" s="416"/>
      <c r="AL87" s="416"/>
      <c r="AM87" s="419"/>
      <c r="AN87" s="419"/>
      <c r="AO87" s="419"/>
      <c r="AP87" s="11">
        <f t="shared" si="45"/>
        <v>10474.799999999999</v>
      </c>
      <c r="AQ87" s="11">
        <f t="shared" si="46"/>
        <v>4225.4500000000007</v>
      </c>
      <c r="AR87" s="11">
        <f t="shared" si="53"/>
        <v>14700.25</v>
      </c>
      <c r="AS87" s="414">
        <f t="shared" si="61"/>
        <v>581.93333333333328</v>
      </c>
      <c r="AT87" s="414">
        <v>550</v>
      </c>
      <c r="AU87" s="11">
        <f t="shared" si="59"/>
        <v>349.16</v>
      </c>
      <c r="AV87" s="11"/>
      <c r="AW87" s="11"/>
      <c r="AX87" s="11"/>
      <c r="AY87" s="11">
        <f t="shared" si="50"/>
        <v>16181.343333333332</v>
      </c>
      <c r="AZ87" s="11"/>
      <c r="BA87" s="11">
        <f t="shared" si="47"/>
        <v>16181.343333333332</v>
      </c>
      <c r="BB87" s="11">
        <f t="shared" si="54"/>
        <v>6626.6566666666677</v>
      </c>
      <c r="BC87" s="11">
        <f t="shared" si="48"/>
        <v>34212</v>
      </c>
      <c r="BD87" s="11">
        <f t="shared" si="49"/>
        <v>410544</v>
      </c>
      <c r="BE87" s="5" t="s">
        <v>86</v>
      </c>
    </row>
    <row r="88" spans="1:57">
      <c r="A88" s="285" t="s">
        <v>62</v>
      </c>
      <c r="B88" s="284" t="s">
        <v>659</v>
      </c>
      <c r="C88" s="24">
        <f t="shared" si="58"/>
        <v>1</v>
      </c>
      <c r="D88" s="24"/>
      <c r="E88" s="24">
        <v>1</v>
      </c>
      <c r="F88" s="24"/>
      <c r="G88" s="24"/>
      <c r="H88" s="24"/>
      <c r="I88" s="24"/>
      <c r="J88" s="24"/>
      <c r="K88" s="24"/>
      <c r="L88" s="24"/>
      <c r="M88" s="24"/>
      <c r="N88" s="24"/>
      <c r="O88" s="24">
        <f t="shared" si="60"/>
        <v>1</v>
      </c>
      <c r="P88" s="24"/>
      <c r="Q88" s="24">
        <v>1</v>
      </c>
      <c r="R88" s="24"/>
      <c r="S88" s="24"/>
      <c r="T88" s="24"/>
      <c r="U88" s="24"/>
      <c r="V88" s="24"/>
      <c r="W88" s="24"/>
      <c r="X88" s="24"/>
      <c r="Y88" s="24"/>
      <c r="Z88" s="24"/>
      <c r="AA88" s="25">
        <v>8729</v>
      </c>
      <c r="AB88" s="12"/>
      <c r="AC88" s="13">
        <f t="shared" si="52"/>
        <v>8729</v>
      </c>
      <c r="AD88" s="416"/>
      <c r="AE88" s="416"/>
      <c r="AF88" s="417">
        <f>AC88*AF31</f>
        <v>1309.3499999999999</v>
      </c>
      <c r="AG88" s="416"/>
      <c r="AH88" s="417"/>
      <c r="AI88" s="416"/>
      <c r="AJ88" s="416"/>
      <c r="AK88" s="416"/>
      <c r="AL88" s="416"/>
      <c r="AM88" s="419"/>
      <c r="AN88" s="419"/>
      <c r="AO88" s="419"/>
      <c r="AP88" s="11">
        <f t="shared" si="45"/>
        <v>10038.35</v>
      </c>
      <c r="AQ88" s="11">
        <f t="shared" si="46"/>
        <v>4661.8999999999996</v>
      </c>
      <c r="AR88" s="11">
        <f t="shared" si="53"/>
        <v>14700.25</v>
      </c>
      <c r="AS88" s="414">
        <f t="shared" si="61"/>
        <v>581.93333333333328</v>
      </c>
      <c r="AT88" s="414">
        <v>550</v>
      </c>
      <c r="AU88" s="11">
        <f t="shared" si="59"/>
        <v>349.16</v>
      </c>
      <c r="AV88" s="11"/>
      <c r="AW88" s="11"/>
      <c r="AX88" s="11"/>
      <c r="AY88" s="11">
        <f t="shared" si="50"/>
        <v>16181.343333333332</v>
      </c>
      <c r="AZ88" s="11"/>
      <c r="BA88" s="11">
        <f t="shared" si="47"/>
        <v>16181.343333333332</v>
      </c>
      <c r="BB88" s="11">
        <f t="shared" si="54"/>
        <v>6626.6566666666677</v>
      </c>
      <c r="BC88" s="11">
        <f t="shared" si="48"/>
        <v>34212</v>
      </c>
      <c r="BD88" s="11">
        <f t="shared" si="49"/>
        <v>410544</v>
      </c>
      <c r="BE88" s="5" t="s">
        <v>86</v>
      </c>
    </row>
    <row r="89" spans="1:57">
      <c r="A89" s="285" t="s">
        <v>62</v>
      </c>
      <c r="B89" s="284" t="s">
        <v>659</v>
      </c>
      <c r="C89" s="24">
        <f t="shared" si="58"/>
        <v>1</v>
      </c>
      <c r="D89" s="24"/>
      <c r="E89" s="24">
        <v>1</v>
      </c>
      <c r="F89" s="24"/>
      <c r="G89" s="24"/>
      <c r="H89" s="24"/>
      <c r="I89" s="24"/>
      <c r="J89" s="24"/>
      <c r="K89" s="24"/>
      <c r="L89" s="24"/>
      <c r="M89" s="24"/>
      <c r="N89" s="24"/>
      <c r="O89" s="24">
        <f t="shared" si="60"/>
        <v>1</v>
      </c>
      <c r="P89" s="24"/>
      <c r="Q89" s="24">
        <v>1</v>
      </c>
      <c r="R89" s="24"/>
      <c r="S89" s="24"/>
      <c r="T89" s="24"/>
      <c r="U89" s="24"/>
      <c r="V89" s="24"/>
      <c r="W89" s="24"/>
      <c r="X89" s="24"/>
      <c r="Y89" s="24"/>
      <c r="Z89" s="24"/>
      <c r="AA89" s="25">
        <v>8729</v>
      </c>
      <c r="AB89" s="12"/>
      <c r="AC89" s="13">
        <f t="shared" si="52"/>
        <v>8729</v>
      </c>
      <c r="AD89" s="416"/>
      <c r="AE89" s="417">
        <f>AC89*AE31</f>
        <v>872.90000000000009</v>
      </c>
      <c r="AF89" s="416"/>
      <c r="AG89" s="416"/>
      <c r="AH89" s="417"/>
      <c r="AI89" s="416"/>
      <c r="AJ89" s="416"/>
      <c r="AK89" s="416"/>
      <c r="AL89" s="416"/>
      <c r="AM89" s="419"/>
      <c r="AN89" s="419"/>
      <c r="AO89" s="419"/>
      <c r="AP89" s="11">
        <f t="shared" si="45"/>
        <v>9601.9</v>
      </c>
      <c r="AQ89" s="11">
        <f t="shared" si="46"/>
        <v>5098.3500000000004</v>
      </c>
      <c r="AR89" s="11">
        <f t="shared" si="53"/>
        <v>14700.25</v>
      </c>
      <c r="AS89" s="414">
        <f t="shared" si="61"/>
        <v>581.93333333333328</v>
      </c>
      <c r="AT89" s="414">
        <v>550</v>
      </c>
      <c r="AU89" s="11">
        <f t="shared" si="59"/>
        <v>349.16</v>
      </c>
      <c r="AV89" s="11"/>
      <c r="AW89" s="11"/>
      <c r="AX89" s="11"/>
      <c r="AY89" s="11">
        <f t="shared" si="50"/>
        <v>16181.343333333332</v>
      </c>
      <c r="AZ89" s="11"/>
      <c r="BA89" s="11">
        <f t="shared" si="47"/>
        <v>16181.343333333332</v>
      </c>
      <c r="BB89" s="11">
        <f t="shared" si="54"/>
        <v>6626.6566666666677</v>
      </c>
      <c r="BC89" s="11">
        <f t="shared" si="48"/>
        <v>34212</v>
      </c>
      <c r="BD89" s="11">
        <f t="shared" si="49"/>
        <v>410544</v>
      </c>
      <c r="BE89" s="5" t="s">
        <v>86</v>
      </c>
    </row>
    <row r="90" spans="1:57">
      <c r="A90" s="285" t="s">
        <v>62</v>
      </c>
      <c r="B90" s="284" t="s">
        <v>659</v>
      </c>
      <c r="C90" s="24">
        <f t="shared" si="58"/>
        <v>1</v>
      </c>
      <c r="D90" s="24"/>
      <c r="E90" s="24">
        <v>1</v>
      </c>
      <c r="F90" s="24"/>
      <c r="G90" s="24"/>
      <c r="H90" s="24"/>
      <c r="I90" s="24"/>
      <c r="J90" s="24"/>
      <c r="K90" s="24"/>
      <c r="L90" s="24"/>
      <c r="M90" s="24"/>
      <c r="N90" s="24"/>
      <c r="O90" s="24">
        <f t="shared" si="60"/>
        <v>1</v>
      </c>
      <c r="P90" s="24"/>
      <c r="Q90" s="24">
        <v>1</v>
      </c>
      <c r="R90" s="24"/>
      <c r="S90" s="24"/>
      <c r="T90" s="24"/>
      <c r="U90" s="24"/>
      <c r="V90" s="24"/>
      <c r="W90" s="24"/>
      <c r="X90" s="24"/>
      <c r="Y90" s="24"/>
      <c r="Z90" s="24"/>
      <c r="AA90" s="25">
        <v>8729</v>
      </c>
      <c r="AB90" s="12"/>
      <c r="AC90" s="13">
        <f t="shared" si="52"/>
        <v>8729</v>
      </c>
      <c r="AD90" s="416"/>
      <c r="AE90" s="417">
        <f>AC90*AE31</f>
        <v>872.90000000000009</v>
      </c>
      <c r="AF90" s="416"/>
      <c r="AG90" s="416"/>
      <c r="AH90" s="417"/>
      <c r="AI90" s="416"/>
      <c r="AJ90" s="416"/>
      <c r="AK90" s="416"/>
      <c r="AL90" s="416"/>
      <c r="AM90" s="419"/>
      <c r="AN90" s="419"/>
      <c r="AO90" s="419"/>
      <c r="AP90" s="11">
        <f t="shared" si="45"/>
        <v>9601.9</v>
      </c>
      <c r="AQ90" s="11">
        <f t="shared" si="46"/>
        <v>5098.3500000000004</v>
      </c>
      <c r="AR90" s="11">
        <f t="shared" si="53"/>
        <v>14700.25</v>
      </c>
      <c r="AS90" s="414">
        <f t="shared" si="61"/>
        <v>581.93333333333328</v>
      </c>
      <c r="AT90" s="414">
        <v>550</v>
      </c>
      <c r="AU90" s="11">
        <f t="shared" si="59"/>
        <v>349.16</v>
      </c>
      <c r="AV90" s="11"/>
      <c r="AW90" s="11"/>
      <c r="AX90" s="11"/>
      <c r="AY90" s="11">
        <f t="shared" si="50"/>
        <v>16181.343333333332</v>
      </c>
      <c r="AZ90" s="11"/>
      <c r="BA90" s="11">
        <f t="shared" si="47"/>
        <v>16181.343333333332</v>
      </c>
      <c r="BB90" s="11">
        <f t="shared" si="54"/>
        <v>6626.6566666666677</v>
      </c>
      <c r="BC90" s="11">
        <f t="shared" si="48"/>
        <v>34212</v>
      </c>
      <c r="BD90" s="11">
        <f t="shared" si="49"/>
        <v>410544</v>
      </c>
      <c r="BE90" s="5" t="s">
        <v>86</v>
      </c>
    </row>
    <row r="91" spans="1:57">
      <c r="A91" s="285" t="s">
        <v>62</v>
      </c>
      <c r="B91" s="284" t="s">
        <v>659</v>
      </c>
      <c r="C91" s="24">
        <f t="shared" si="58"/>
        <v>1</v>
      </c>
      <c r="D91" s="24"/>
      <c r="E91" s="24">
        <v>1</v>
      </c>
      <c r="F91" s="24"/>
      <c r="G91" s="24"/>
      <c r="H91" s="24"/>
      <c r="I91" s="24"/>
      <c r="J91" s="24"/>
      <c r="K91" s="24"/>
      <c r="L91" s="24"/>
      <c r="M91" s="24"/>
      <c r="N91" s="24"/>
      <c r="O91" s="24">
        <f t="shared" si="60"/>
        <v>1</v>
      </c>
      <c r="P91" s="24"/>
      <c r="Q91" s="24">
        <v>1</v>
      </c>
      <c r="R91" s="24"/>
      <c r="S91" s="24"/>
      <c r="T91" s="24"/>
      <c r="U91" s="24"/>
      <c r="V91" s="24"/>
      <c r="W91" s="24"/>
      <c r="X91" s="24"/>
      <c r="Y91" s="24"/>
      <c r="Z91" s="24"/>
      <c r="AA91" s="25">
        <v>8729</v>
      </c>
      <c r="AB91" s="12"/>
      <c r="AC91" s="13">
        <f t="shared" si="52"/>
        <v>8729</v>
      </c>
      <c r="AD91" s="416"/>
      <c r="AE91" s="416"/>
      <c r="AF91" s="416"/>
      <c r="AG91" s="416"/>
      <c r="AH91" s="417"/>
      <c r="AI91" s="416"/>
      <c r="AJ91" s="416"/>
      <c r="AK91" s="416"/>
      <c r="AL91" s="416"/>
      <c r="AM91" s="419"/>
      <c r="AN91" s="419"/>
      <c r="AO91" s="419"/>
      <c r="AP91" s="11">
        <f t="shared" si="45"/>
        <v>8729</v>
      </c>
      <c r="AQ91" s="11">
        <f t="shared" si="46"/>
        <v>5971.25</v>
      </c>
      <c r="AR91" s="11">
        <f t="shared" si="53"/>
        <v>14700.25</v>
      </c>
      <c r="AS91" s="414">
        <f t="shared" si="61"/>
        <v>581.93333333333328</v>
      </c>
      <c r="AT91" s="414">
        <v>550</v>
      </c>
      <c r="AU91" s="11">
        <f t="shared" si="59"/>
        <v>349.16</v>
      </c>
      <c r="AV91" s="11"/>
      <c r="AW91" s="11"/>
      <c r="AX91" s="11"/>
      <c r="AY91" s="11">
        <f t="shared" si="50"/>
        <v>16181.343333333332</v>
      </c>
      <c r="AZ91" s="11"/>
      <c r="BA91" s="11">
        <f t="shared" si="47"/>
        <v>16181.343333333332</v>
      </c>
      <c r="BB91" s="11">
        <f t="shared" si="54"/>
        <v>6626.6566666666677</v>
      </c>
      <c r="BC91" s="11">
        <f t="shared" si="48"/>
        <v>34212</v>
      </c>
      <c r="BD91" s="11">
        <f t="shared" si="49"/>
        <v>410544</v>
      </c>
      <c r="BE91" s="5" t="s">
        <v>86</v>
      </c>
    </row>
    <row r="92" spans="1:57">
      <c r="A92" s="285" t="s">
        <v>62</v>
      </c>
      <c r="B92" s="284" t="s">
        <v>659</v>
      </c>
      <c r="C92" s="24">
        <f t="shared" si="58"/>
        <v>1</v>
      </c>
      <c r="D92" s="24"/>
      <c r="E92" s="24">
        <v>1</v>
      </c>
      <c r="F92" s="24"/>
      <c r="G92" s="24"/>
      <c r="H92" s="24"/>
      <c r="I92" s="24"/>
      <c r="J92" s="24"/>
      <c r="K92" s="24"/>
      <c r="L92" s="24"/>
      <c r="M92" s="24"/>
      <c r="N92" s="24"/>
      <c r="O92" s="24">
        <f t="shared" si="60"/>
        <v>1</v>
      </c>
      <c r="P92" s="24"/>
      <c r="Q92" s="24">
        <v>1</v>
      </c>
      <c r="R92" s="24"/>
      <c r="S92" s="24"/>
      <c r="T92" s="24"/>
      <c r="U92" s="24"/>
      <c r="V92" s="24"/>
      <c r="W92" s="24"/>
      <c r="X92" s="24"/>
      <c r="Y92" s="24"/>
      <c r="Z92" s="24"/>
      <c r="AA92" s="25">
        <v>8729</v>
      </c>
      <c r="AB92" s="12"/>
      <c r="AC92" s="13">
        <f t="shared" si="52"/>
        <v>8729</v>
      </c>
      <c r="AD92" s="416"/>
      <c r="AE92" s="416"/>
      <c r="AF92" s="416"/>
      <c r="AG92" s="416"/>
      <c r="AH92" s="417"/>
      <c r="AI92" s="416"/>
      <c r="AJ92" s="416"/>
      <c r="AK92" s="416"/>
      <c r="AL92" s="416"/>
      <c r="AM92" s="419"/>
      <c r="AN92" s="419"/>
      <c r="AO92" s="419"/>
      <c r="AP92" s="11">
        <f t="shared" si="45"/>
        <v>8729</v>
      </c>
      <c r="AQ92" s="11">
        <f t="shared" si="46"/>
        <v>5971.25</v>
      </c>
      <c r="AR92" s="11">
        <f t="shared" si="53"/>
        <v>14700.25</v>
      </c>
      <c r="AS92" s="414">
        <f t="shared" si="61"/>
        <v>581.93333333333328</v>
      </c>
      <c r="AT92" s="414">
        <v>550</v>
      </c>
      <c r="AU92" s="11">
        <f t="shared" si="59"/>
        <v>349.16</v>
      </c>
      <c r="AV92" s="11"/>
      <c r="AW92" s="11"/>
      <c r="AX92" s="11"/>
      <c r="AY92" s="11">
        <f t="shared" si="50"/>
        <v>16181.343333333332</v>
      </c>
      <c r="AZ92" s="11"/>
      <c r="BA92" s="11">
        <f t="shared" si="47"/>
        <v>16181.343333333332</v>
      </c>
      <c r="BB92" s="11">
        <f t="shared" si="54"/>
        <v>6626.6566666666677</v>
      </c>
      <c r="BC92" s="11">
        <f t="shared" si="48"/>
        <v>34212</v>
      </c>
      <c r="BD92" s="11">
        <f t="shared" si="49"/>
        <v>410544</v>
      </c>
      <c r="BE92" s="5" t="s">
        <v>86</v>
      </c>
    </row>
    <row r="93" spans="1:57">
      <c r="A93" s="285" t="s">
        <v>62</v>
      </c>
      <c r="B93" s="284" t="s">
        <v>659</v>
      </c>
      <c r="C93" s="24">
        <f t="shared" si="58"/>
        <v>1</v>
      </c>
      <c r="D93" s="24"/>
      <c r="E93" s="24">
        <v>1</v>
      </c>
      <c r="F93" s="24"/>
      <c r="G93" s="24"/>
      <c r="H93" s="24"/>
      <c r="I93" s="24"/>
      <c r="J93" s="24"/>
      <c r="K93" s="24"/>
      <c r="L93" s="24"/>
      <c r="M93" s="24"/>
      <c r="N93" s="24"/>
      <c r="O93" s="24">
        <f t="shared" si="60"/>
        <v>1</v>
      </c>
      <c r="P93" s="24"/>
      <c r="Q93" s="24">
        <v>1</v>
      </c>
      <c r="R93" s="24"/>
      <c r="S93" s="24"/>
      <c r="T93" s="24"/>
      <c r="U93" s="24"/>
      <c r="V93" s="24"/>
      <c r="W93" s="24"/>
      <c r="X93" s="24"/>
      <c r="Y93" s="24"/>
      <c r="Z93" s="24"/>
      <c r="AA93" s="25">
        <v>8729</v>
      </c>
      <c r="AB93" s="12"/>
      <c r="AC93" s="13">
        <f t="shared" si="52"/>
        <v>8729</v>
      </c>
      <c r="AD93" s="416"/>
      <c r="AE93" s="416"/>
      <c r="AF93" s="416"/>
      <c r="AG93" s="416"/>
      <c r="AH93" s="417"/>
      <c r="AI93" s="416"/>
      <c r="AJ93" s="416"/>
      <c r="AK93" s="416"/>
      <c r="AL93" s="416"/>
      <c r="AM93" s="419"/>
      <c r="AN93" s="419"/>
      <c r="AO93" s="419"/>
      <c r="AP93" s="11">
        <f t="shared" si="45"/>
        <v>8729</v>
      </c>
      <c r="AQ93" s="11">
        <f t="shared" si="46"/>
        <v>5971.25</v>
      </c>
      <c r="AR93" s="11">
        <f t="shared" si="53"/>
        <v>14700.25</v>
      </c>
      <c r="AS93" s="414">
        <f t="shared" si="61"/>
        <v>581.93333333333328</v>
      </c>
      <c r="AT93" s="414">
        <v>550</v>
      </c>
      <c r="AU93" s="11">
        <f t="shared" si="59"/>
        <v>349.16</v>
      </c>
      <c r="AV93" s="11"/>
      <c r="AW93" s="11"/>
      <c r="AX93" s="11"/>
      <c r="AY93" s="11">
        <f t="shared" si="50"/>
        <v>16181.343333333332</v>
      </c>
      <c r="AZ93" s="11"/>
      <c r="BA93" s="11">
        <f t="shared" si="47"/>
        <v>16181.343333333332</v>
      </c>
      <c r="BB93" s="11">
        <f t="shared" si="54"/>
        <v>6626.6566666666677</v>
      </c>
      <c r="BC93" s="11">
        <f t="shared" si="48"/>
        <v>34212</v>
      </c>
      <c r="BD93" s="11">
        <f t="shared" si="49"/>
        <v>410544</v>
      </c>
      <c r="BE93" s="5" t="s">
        <v>86</v>
      </c>
    </row>
    <row r="94" spans="1:57">
      <c r="A94" s="285" t="s">
        <v>62</v>
      </c>
      <c r="B94" s="284" t="s">
        <v>659</v>
      </c>
      <c r="C94" s="24">
        <f t="shared" si="58"/>
        <v>1</v>
      </c>
      <c r="D94" s="24"/>
      <c r="E94" s="24">
        <v>1</v>
      </c>
      <c r="F94" s="24"/>
      <c r="G94" s="24"/>
      <c r="H94" s="24"/>
      <c r="I94" s="24"/>
      <c r="J94" s="24"/>
      <c r="K94" s="24"/>
      <c r="L94" s="24"/>
      <c r="M94" s="24"/>
      <c r="N94" s="24"/>
      <c r="O94" s="24">
        <f t="shared" si="60"/>
        <v>1</v>
      </c>
      <c r="P94" s="24"/>
      <c r="Q94" s="24">
        <v>1</v>
      </c>
      <c r="R94" s="24"/>
      <c r="S94" s="24"/>
      <c r="T94" s="24"/>
      <c r="U94" s="24"/>
      <c r="V94" s="24"/>
      <c r="W94" s="24"/>
      <c r="X94" s="24"/>
      <c r="Y94" s="24"/>
      <c r="Z94" s="24"/>
      <c r="AA94" s="25">
        <v>8729</v>
      </c>
      <c r="AB94" s="12"/>
      <c r="AC94" s="13">
        <f t="shared" si="52"/>
        <v>8729</v>
      </c>
      <c r="AD94" s="416"/>
      <c r="AE94" s="416"/>
      <c r="AF94" s="416"/>
      <c r="AG94" s="416"/>
      <c r="AH94" s="417"/>
      <c r="AI94" s="416"/>
      <c r="AJ94" s="416"/>
      <c r="AK94" s="416"/>
      <c r="AL94" s="416"/>
      <c r="AM94" s="419"/>
      <c r="AN94" s="419"/>
      <c r="AO94" s="419"/>
      <c r="AP94" s="11">
        <f t="shared" si="45"/>
        <v>8729</v>
      </c>
      <c r="AQ94" s="11">
        <f t="shared" si="46"/>
        <v>5971.25</v>
      </c>
      <c r="AR94" s="11">
        <f t="shared" si="53"/>
        <v>14700.25</v>
      </c>
      <c r="AS94" s="414">
        <f t="shared" si="61"/>
        <v>581.93333333333328</v>
      </c>
      <c r="AT94" s="414">
        <v>550</v>
      </c>
      <c r="AU94" s="11">
        <f t="shared" si="59"/>
        <v>349.16</v>
      </c>
      <c r="AV94" s="11"/>
      <c r="AW94" s="11"/>
      <c r="AX94" s="11"/>
      <c r="AY94" s="11">
        <f t="shared" si="50"/>
        <v>16181.343333333332</v>
      </c>
      <c r="AZ94" s="11"/>
      <c r="BA94" s="11">
        <f t="shared" si="47"/>
        <v>16181.343333333332</v>
      </c>
      <c r="BB94" s="11">
        <f t="shared" si="54"/>
        <v>6626.6566666666677</v>
      </c>
      <c r="BC94" s="11">
        <f t="shared" si="48"/>
        <v>34212</v>
      </c>
      <c r="BD94" s="11">
        <f t="shared" si="49"/>
        <v>410544</v>
      </c>
      <c r="BE94" s="5" t="s">
        <v>86</v>
      </c>
    </row>
    <row r="95" spans="1:57">
      <c r="A95" s="285" t="s">
        <v>62</v>
      </c>
      <c r="B95" s="284" t="s">
        <v>659</v>
      </c>
      <c r="C95" s="24">
        <f t="shared" si="58"/>
        <v>1</v>
      </c>
      <c r="D95" s="24"/>
      <c r="E95" s="24">
        <v>1</v>
      </c>
      <c r="F95" s="24"/>
      <c r="G95" s="24"/>
      <c r="H95" s="24"/>
      <c r="I95" s="24"/>
      <c r="J95" s="24"/>
      <c r="K95" s="24"/>
      <c r="L95" s="24"/>
      <c r="M95" s="24"/>
      <c r="N95" s="24"/>
      <c r="O95" s="24">
        <f t="shared" si="60"/>
        <v>1</v>
      </c>
      <c r="P95" s="24"/>
      <c r="Q95" s="24">
        <v>1</v>
      </c>
      <c r="R95" s="24"/>
      <c r="S95" s="24"/>
      <c r="T95" s="24"/>
      <c r="U95" s="24"/>
      <c r="V95" s="24"/>
      <c r="W95" s="24"/>
      <c r="X95" s="24"/>
      <c r="Y95" s="24"/>
      <c r="Z95" s="24"/>
      <c r="AA95" s="25">
        <v>8729</v>
      </c>
      <c r="AB95" s="12"/>
      <c r="AC95" s="13">
        <f t="shared" si="52"/>
        <v>8729</v>
      </c>
      <c r="AD95" s="416"/>
      <c r="AE95" s="416"/>
      <c r="AF95" s="416"/>
      <c r="AG95" s="416"/>
      <c r="AH95" s="417"/>
      <c r="AI95" s="416"/>
      <c r="AJ95" s="416"/>
      <c r="AK95" s="416"/>
      <c r="AL95" s="416"/>
      <c r="AM95" s="419"/>
      <c r="AN95" s="419"/>
      <c r="AO95" s="419"/>
      <c r="AP95" s="11">
        <f t="shared" si="45"/>
        <v>8729</v>
      </c>
      <c r="AQ95" s="11">
        <f t="shared" si="46"/>
        <v>5971.25</v>
      </c>
      <c r="AR95" s="11">
        <f t="shared" si="53"/>
        <v>14700.25</v>
      </c>
      <c r="AS95" s="414">
        <f t="shared" si="61"/>
        <v>581.93333333333328</v>
      </c>
      <c r="AT95" s="414">
        <v>550</v>
      </c>
      <c r="AU95" s="11">
        <f t="shared" si="59"/>
        <v>349.16</v>
      </c>
      <c r="AV95" s="11"/>
      <c r="AW95" s="11"/>
      <c r="AX95" s="11"/>
      <c r="AY95" s="11">
        <f t="shared" si="50"/>
        <v>16181.343333333332</v>
      </c>
      <c r="AZ95" s="11"/>
      <c r="BA95" s="11">
        <f t="shared" si="47"/>
        <v>16181.343333333332</v>
      </c>
      <c r="BB95" s="11">
        <f t="shared" si="54"/>
        <v>6626.6566666666677</v>
      </c>
      <c r="BC95" s="11">
        <f t="shared" si="48"/>
        <v>34212</v>
      </c>
      <c r="BD95" s="11">
        <f t="shared" si="49"/>
        <v>410544</v>
      </c>
      <c r="BE95" s="5" t="s">
        <v>86</v>
      </c>
    </row>
    <row r="96" spans="1:57">
      <c r="A96" s="285" t="s">
        <v>62</v>
      </c>
      <c r="B96" s="284" t="s">
        <v>659</v>
      </c>
      <c r="C96" s="24">
        <f t="shared" si="58"/>
        <v>1</v>
      </c>
      <c r="D96" s="24"/>
      <c r="E96" s="24">
        <v>1</v>
      </c>
      <c r="F96" s="24"/>
      <c r="G96" s="24"/>
      <c r="H96" s="24"/>
      <c r="I96" s="24"/>
      <c r="J96" s="24"/>
      <c r="K96" s="24"/>
      <c r="L96" s="24"/>
      <c r="M96" s="24"/>
      <c r="N96" s="24"/>
      <c r="O96" s="24">
        <f t="shared" si="60"/>
        <v>1</v>
      </c>
      <c r="P96" s="24"/>
      <c r="Q96" s="24">
        <v>1</v>
      </c>
      <c r="R96" s="24"/>
      <c r="S96" s="24"/>
      <c r="T96" s="24"/>
      <c r="U96" s="24"/>
      <c r="V96" s="24"/>
      <c r="W96" s="24"/>
      <c r="X96" s="24"/>
      <c r="Y96" s="24"/>
      <c r="Z96" s="24"/>
      <c r="AA96" s="25">
        <v>8729</v>
      </c>
      <c r="AB96" s="12"/>
      <c r="AC96" s="13">
        <f t="shared" si="52"/>
        <v>8729</v>
      </c>
      <c r="AD96" s="416"/>
      <c r="AE96" s="416"/>
      <c r="AF96" s="416"/>
      <c r="AG96" s="416"/>
      <c r="AH96" s="417"/>
      <c r="AI96" s="416"/>
      <c r="AJ96" s="416"/>
      <c r="AK96" s="416"/>
      <c r="AL96" s="416"/>
      <c r="AM96" s="419"/>
      <c r="AN96" s="419"/>
      <c r="AO96" s="419"/>
      <c r="AP96" s="11">
        <f t="shared" si="45"/>
        <v>8729</v>
      </c>
      <c r="AQ96" s="11">
        <f t="shared" si="46"/>
        <v>5971.25</v>
      </c>
      <c r="AR96" s="11">
        <f t="shared" si="53"/>
        <v>14700.25</v>
      </c>
      <c r="AS96" s="414">
        <f t="shared" si="61"/>
        <v>581.93333333333328</v>
      </c>
      <c r="AT96" s="414">
        <v>550</v>
      </c>
      <c r="AU96" s="11">
        <f t="shared" si="59"/>
        <v>349.16</v>
      </c>
      <c r="AV96" s="11"/>
      <c r="AW96" s="11"/>
      <c r="AX96" s="11"/>
      <c r="AY96" s="11">
        <f t="shared" si="50"/>
        <v>16181.343333333332</v>
      </c>
      <c r="AZ96" s="11"/>
      <c r="BA96" s="11">
        <f t="shared" si="47"/>
        <v>16181.343333333332</v>
      </c>
      <c r="BB96" s="11">
        <f t="shared" si="54"/>
        <v>6626.6566666666677</v>
      </c>
      <c r="BC96" s="11">
        <f t="shared" si="48"/>
        <v>34212</v>
      </c>
      <c r="BD96" s="11">
        <f t="shared" si="49"/>
        <v>410544</v>
      </c>
      <c r="BE96" s="5" t="s">
        <v>86</v>
      </c>
    </row>
    <row r="97" spans="1:57">
      <c r="A97" s="285" t="s">
        <v>62</v>
      </c>
      <c r="B97" s="284" t="s">
        <v>659</v>
      </c>
      <c r="C97" s="24">
        <f t="shared" si="58"/>
        <v>1</v>
      </c>
      <c r="D97" s="24"/>
      <c r="E97" s="24">
        <v>1</v>
      </c>
      <c r="F97" s="24"/>
      <c r="G97" s="24"/>
      <c r="H97" s="24"/>
      <c r="I97" s="24"/>
      <c r="J97" s="24"/>
      <c r="K97" s="24"/>
      <c r="L97" s="24"/>
      <c r="M97" s="24"/>
      <c r="N97" s="24"/>
      <c r="O97" s="24">
        <f t="shared" si="60"/>
        <v>1</v>
      </c>
      <c r="P97" s="24"/>
      <c r="Q97" s="24">
        <v>1</v>
      </c>
      <c r="R97" s="24"/>
      <c r="S97" s="24"/>
      <c r="T97" s="24"/>
      <c r="U97" s="24"/>
      <c r="V97" s="24"/>
      <c r="W97" s="24"/>
      <c r="X97" s="24"/>
      <c r="Y97" s="24"/>
      <c r="Z97" s="24"/>
      <c r="AA97" s="25">
        <v>8729</v>
      </c>
      <c r="AB97" s="12"/>
      <c r="AC97" s="13">
        <f t="shared" si="52"/>
        <v>8729</v>
      </c>
      <c r="AD97" s="416"/>
      <c r="AE97" s="416"/>
      <c r="AF97" s="416"/>
      <c r="AG97" s="416"/>
      <c r="AH97" s="417"/>
      <c r="AI97" s="416"/>
      <c r="AJ97" s="416"/>
      <c r="AK97" s="416"/>
      <c r="AL97" s="416"/>
      <c r="AM97" s="419"/>
      <c r="AN97" s="419"/>
      <c r="AO97" s="419"/>
      <c r="AP97" s="11">
        <f t="shared" si="45"/>
        <v>8729</v>
      </c>
      <c r="AQ97" s="11">
        <f t="shared" si="46"/>
        <v>5971.25</v>
      </c>
      <c r="AR97" s="11">
        <f t="shared" si="53"/>
        <v>14700.25</v>
      </c>
      <c r="AS97" s="414">
        <f t="shared" si="61"/>
        <v>581.93333333333328</v>
      </c>
      <c r="AT97" s="414">
        <v>550</v>
      </c>
      <c r="AU97" s="11">
        <f t="shared" si="59"/>
        <v>349.16</v>
      </c>
      <c r="AV97" s="11"/>
      <c r="AW97" s="11"/>
      <c r="AX97" s="11"/>
      <c r="AY97" s="11">
        <f t="shared" si="50"/>
        <v>16181.343333333332</v>
      </c>
      <c r="AZ97" s="11"/>
      <c r="BA97" s="11">
        <f t="shared" si="47"/>
        <v>16181.343333333332</v>
      </c>
      <c r="BB97" s="11">
        <f t="shared" si="54"/>
        <v>6626.6566666666677</v>
      </c>
      <c r="BC97" s="11">
        <f t="shared" si="48"/>
        <v>34212</v>
      </c>
      <c r="BD97" s="11">
        <f t="shared" si="49"/>
        <v>410544</v>
      </c>
      <c r="BE97" s="5" t="s">
        <v>86</v>
      </c>
    </row>
    <row r="98" spans="1:57">
      <c r="A98" s="285" t="s">
        <v>62</v>
      </c>
      <c r="B98" s="284" t="s">
        <v>659</v>
      </c>
      <c r="C98" s="24">
        <f t="shared" si="58"/>
        <v>1</v>
      </c>
      <c r="D98" s="24"/>
      <c r="E98" s="24">
        <v>1</v>
      </c>
      <c r="F98" s="24"/>
      <c r="G98" s="24"/>
      <c r="H98" s="24"/>
      <c r="I98" s="24"/>
      <c r="J98" s="24"/>
      <c r="K98" s="24"/>
      <c r="L98" s="24"/>
      <c r="M98" s="24"/>
      <c r="N98" s="24"/>
      <c r="O98" s="24">
        <f t="shared" si="60"/>
        <v>1</v>
      </c>
      <c r="P98" s="24"/>
      <c r="Q98" s="24">
        <v>1</v>
      </c>
      <c r="R98" s="24"/>
      <c r="S98" s="24"/>
      <c r="T98" s="24"/>
      <c r="U98" s="24"/>
      <c r="V98" s="24"/>
      <c r="W98" s="24"/>
      <c r="X98" s="24"/>
      <c r="Y98" s="24"/>
      <c r="Z98" s="24"/>
      <c r="AA98" s="25">
        <v>8729</v>
      </c>
      <c r="AB98" s="12"/>
      <c r="AC98" s="13">
        <f t="shared" si="52"/>
        <v>8729</v>
      </c>
      <c r="AD98" s="416"/>
      <c r="AE98" s="416"/>
      <c r="AF98" s="416"/>
      <c r="AG98" s="416"/>
      <c r="AH98" s="417"/>
      <c r="AI98" s="416"/>
      <c r="AJ98" s="416"/>
      <c r="AK98" s="416"/>
      <c r="AL98" s="416"/>
      <c r="AM98" s="419"/>
      <c r="AN98" s="419"/>
      <c r="AO98" s="419"/>
      <c r="AP98" s="11"/>
      <c r="AQ98" s="11"/>
      <c r="AR98" s="11"/>
      <c r="AS98" s="414">
        <f t="shared" si="61"/>
        <v>581.93333333333328</v>
      </c>
      <c r="AT98" s="414">
        <v>550</v>
      </c>
      <c r="AU98" s="417">
        <f t="shared" ref="AU98:AU100" si="62">AR98*4%</f>
        <v>0</v>
      </c>
      <c r="AV98" s="11"/>
      <c r="AW98" s="11"/>
      <c r="AX98" s="11"/>
      <c r="AY98" s="11"/>
      <c r="AZ98" s="11"/>
      <c r="BA98" s="11"/>
      <c r="BB98" s="11"/>
      <c r="BC98" s="11"/>
      <c r="BD98" s="11"/>
      <c r="BE98" s="5"/>
    </row>
    <row r="99" spans="1:57">
      <c r="A99" s="285" t="s">
        <v>62</v>
      </c>
      <c r="B99" s="284" t="s">
        <v>686</v>
      </c>
      <c r="C99" s="24">
        <f t="shared" si="58"/>
        <v>0</v>
      </c>
      <c r="D99" s="24"/>
      <c r="E99" s="24">
        <v>0</v>
      </c>
      <c r="F99" s="24"/>
      <c r="G99" s="24"/>
      <c r="H99" s="24"/>
      <c r="I99" s="24"/>
      <c r="J99" s="24"/>
      <c r="K99" s="24"/>
      <c r="L99" s="24"/>
      <c r="M99" s="24"/>
      <c r="N99" s="24"/>
      <c r="O99" s="24">
        <f t="shared" si="60"/>
        <v>1</v>
      </c>
      <c r="P99" s="24"/>
      <c r="Q99" s="24">
        <v>1</v>
      </c>
      <c r="R99" s="24"/>
      <c r="S99" s="24"/>
      <c r="T99" s="24"/>
      <c r="U99" s="24"/>
      <c r="V99" s="24"/>
      <c r="W99" s="24"/>
      <c r="X99" s="24"/>
      <c r="Y99" s="24"/>
      <c r="Z99" s="24"/>
      <c r="AA99" s="25">
        <v>8729</v>
      </c>
      <c r="AB99" s="12"/>
      <c r="AC99" s="13">
        <f t="shared" si="52"/>
        <v>8729</v>
      </c>
      <c r="AD99" s="416"/>
      <c r="AE99" s="416"/>
      <c r="AF99" s="416"/>
      <c r="AG99" s="416"/>
      <c r="AH99" s="417"/>
      <c r="AI99" s="416"/>
      <c r="AJ99" s="416"/>
      <c r="AK99" s="416"/>
      <c r="AL99" s="416"/>
      <c r="AM99" s="419"/>
      <c r="AN99" s="419"/>
      <c r="AO99" s="419"/>
      <c r="AP99" s="11">
        <f t="shared" ref="AP99:AP164" si="63">SUBTOTAL(9,AC99:AO99)</f>
        <v>8729</v>
      </c>
      <c r="AQ99" s="11">
        <f t="shared" ref="AQ99:AQ164" si="64">IF(AP99&gt;AQ$31,0,AQ$31-AP99)</f>
        <v>5971.25</v>
      </c>
      <c r="AR99" s="11">
        <f t="shared" si="53"/>
        <v>14700.25</v>
      </c>
      <c r="AS99" s="414">
        <f t="shared" si="61"/>
        <v>581.93333333333328</v>
      </c>
      <c r="AT99" s="414">
        <v>550</v>
      </c>
      <c r="AU99" s="417">
        <f t="shared" si="62"/>
        <v>588.01</v>
      </c>
      <c r="AV99" s="11"/>
      <c r="AW99" s="11"/>
      <c r="AX99" s="11"/>
      <c r="AY99" s="11">
        <f t="shared" si="50"/>
        <v>16420.193333333333</v>
      </c>
      <c r="AZ99" s="11"/>
      <c r="BA99" s="11">
        <f t="shared" ref="BA99:BA164" si="65">AY99+AZ99</f>
        <v>16420.193333333333</v>
      </c>
      <c r="BB99" s="11">
        <f t="shared" ref="BB99:BB164" si="66">IFERROR(LOOKUP(A99,Q$6:Q$26,AQ$6:AQ$26)-BA99,0)</f>
        <v>6387.8066666666673</v>
      </c>
      <c r="BC99" s="11">
        <f t="shared" ref="BC99:BC164" si="67">SUM(BA99:BB99)*(1+BC$31)</f>
        <v>34212</v>
      </c>
      <c r="BD99" s="11">
        <f t="shared" ref="BD99:BD164" si="68">C99*BC99*12</f>
        <v>0</v>
      </c>
      <c r="BE99" s="5" t="s">
        <v>86</v>
      </c>
    </row>
    <row r="100" spans="1:57">
      <c r="A100" s="285"/>
      <c r="B100" s="283" t="s">
        <v>660</v>
      </c>
      <c r="C100" s="24">
        <f t="shared" si="58"/>
        <v>0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>
        <f t="shared" si="60"/>
        <v>0</v>
      </c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5"/>
      <c r="AB100" s="12"/>
      <c r="AC100" s="13">
        <f t="shared" si="52"/>
        <v>0</v>
      </c>
      <c r="AD100" s="416"/>
      <c r="AE100" s="416"/>
      <c r="AF100" s="416"/>
      <c r="AG100" s="416"/>
      <c r="AH100" s="417"/>
      <c r="AI100" s="416"/>
      <c r="AJ100" s="416"/>
      <c r="AK100" s="416"/>
      <c r="AL100" s="416"/>
      <c r="AM100" s="419"/>
      <c r="AN100" s="419"/>
      <c r="AO100" s="419"/>
      <c r="AP100" s="11">
        <f t="shared" si="63"/>
        <v>0</v>
      </c>
      <c r="AQ100" s="11">
        <f t="shared" si="64"/>
        <v>14700.25</v>
      </c>
      <c r="AR100" s="11">
        <f t="shared" si="53"/>
        <v>14700.25</v>
      </c>
      <c r="AS100" s="414">
        <f t="shared" si="61"/>
        <v>0</v>
      </c>
      <c r="AT100" s="414">
        <v>550</v>
      </c>
      <c r="AU100" s="417">
        <f t="shared" si="62"/>
        <v>588.01</v>
      </c>
      <c r="AV100" s="11"/>
      <c r="AW100" s="11"/>
      <c r="AX100" s="11"/>
      <c r="AY100" s="11">
        <f t="shared" si="50"/>
        <v>15838.26</v>
      </c>
      <c r="AZ100" s="11"/>
      <c r="BA100" s="11">
        <f t="shared" si="65"/>
        <v>15838.26</v>
      </c>
      <c r="BB100" s="11">
        <f t="shared" si="66"/>
        <v>0</v>
      </c>
      <c r="BC100" s="11">
        <f t="shared" si="67"/>
        <v>23757.39</v>
      </c>
      <c r="BD100" s="11">
        <f t="shared" si="68"/>
        <v>0</v>
      </c>
      <c r="BE100" s="5" t="s">
        <v>86</v>
      </c>
    </row>
    <row r="101" spans="1:57">
      <c r="A101" s="285" t="s">
        <v>55</v>
      </c>
      <c r="B101" s="284" t="s">
        <v>661</v>
      </c>
      <c r="C101" s="24">
        <f t="shared" si="58"/>
        <v>1</v>
      </c>
      <c r="D101" s="24">
        <v>1</v>
      </c>
      <c r="E101" s="24">
        <v>0</v>
      </c>
      <c r="F101" s="24"/>
      <c r="G101" s="24"/>
      <c r="H101" s="24"/>
      <c r="I101" s="24"/>
      <c r="J101" s="24"/>
      <c r="K101" s="24"/>
      <c r="L101" s="24"/>
      <c r="M101" s="24"/>
      <c r="N101" s="24"/>
      <c r="O101" s="24">
        <f t="shared" si="60"/>
        <v>1</v>
      </c>
      <c r="P101" s="24">
        <v>1</v>
      </c>
      <c r="Q101" s="24">
        <v>0</v>
      </c>
      <c r="R101" s="24"/>
      <c r="S101" s="24"/>
      <c r="T101" s="24"/>
      <c r="U101" s="24"/>
      <c r="V101" s="24"/>
      <c r="W101" s="24"/>
      <c r="X101" s="24"/>
      <c r="Y101" s="24"/>
      <c r="Z101" s="24"/>
      <c r="AA101" s="25">
        <v>10846</v>
      </c>
      <c r="AB101" s="12"/>
      <c r="AC101" s="13">
        <f t="shared" si="52"/>
        <v>10846</v>
      </c>
      <c r="AD101" s="420"/>
      <c r="AE101" s="420"/>
      <c r="AF101" s="417">
        <f>AC101*AF31</f>
        <v>1626.8999999999999</v>
      </c>
      <c r="AG101" s="420"/>
      <c r="AH101" s="417"/>
      <c r="AI101" s="420"/>
      <c r="AJ101" s="420"/>
      <c r="AK101" s="420"/>
      <c r="AL101" s="420"/>
      <c r="AM101" s="420"/>
      <c r="AN101" s="420"/>
      <c r="AO101" s="11"/>
      <c r="AP101" s="11">
        <f t="shared" si="63"/>
        <v>12472.9</v>
      </c>
      <c r="AQ101" s="11">
        <f t="shared" si="64"/>
        <v>2227.3500000000004</v>
      </c>
      <c r="AR101" s="11">
        <f t="shared" si="53"/>
        <v>14700.25</v>
      </c>
      <c r="AS101" s="11"/>
      <c r="AT101" s="11"/>
      <c r="AU101" s="11"/>
      <c r="AV101" s="11"/>
      <c r="AW101" s="11"/>
      <c r="AX101" s="11"/>
      <c r="AY101" s="11">
        <f t="shared" si="50"/>
        <v>14700.25</v>
      </c>
      <c r="AZ101" s="11"/>
      <c r="BA101" s="11">
        <f t="shared" si="65"/>
        <v>14700.25</v>
      </c>
      <c r="BB101" s="11">
        <f t="shared" si="66"/>
        <v>12801.75</v>
      </c>
      <c r="BC101" s="11">
        <f t="shared" si="67"/>
        <v>41253</v>
      </c>
      <c r="BD101" s="11">
        <f t="shared" si="68"/>
        <v>495036</v>
      </c>
      <c r="BE101" s="5" t="s">
        <v>86</v>
      </c>
    </row>
    <row r="102" spans="1:57">
      <c r="A102" s="285" t="s">
        <v>61</v>
      </c>
      <c r="B102" s="284" t="s">
        <v>662</v>
      </c>
      <c r="C102" s="24">
        <f t="shared" si="58"/>
        <v>1</v>
      </c>
      <c r="D102" s="24"/>
      <c r="E102" s="24">
        <v>1</v>
      </c>
      <c r="F102" s="24"/>
      <c r="G102" s="24"/>
      <c r="H102" s="24"/>
      <c r="I102" s="24"/>
      <c r="J102" s="24"/>
      <c r="K102" s="24"/>
      <c r="L102" s="24"/>
      <c r="M102" s="24"/>
      <c r="N102" s="24"/>
      <c r="O102" s="24">
        <f t="shared" si="60"/>
        <v>1</v>
      </c>
      <c r="P102" s="24"/>
      <c r="Q102" s="24">
        <v>1</v>
      </c>
      <c r="R102" s="24"/>
      <c r="S102" s="24"/>
      <c r="T102" s="24"/>
      <c r="U102" s="24"/>
      <c r="V102" s="24"/>
      <c r="W102" s="24"/>
      <c r="X102" s="24"/>
      <c r="Y102" s="24"/>
      <c r="Z102" s="24"/>
      <c r="AA102" s="25">
        <v>8953</v>
      </c>
      <c r="AB102" s="12"/>
      <c r="AC102" s="13">
        <f t="shared" si="52"/>
        <v>8953</v>
      </c>
      <c r="AD102" s="416"/>
      <c r="AE102" s="417">
        <f>AC102*AE31</f>
        <v>895.30000000000007</v>
      </c>
      <c r="AF102" s="416"/>
      <c r="AG102" s="416"/>
      <c r="AH102" s="417"/>
      <c r="AI102" s="416"/>
      <c r="AJ102" s="416"/>
      <c r="AK102" s="416"/>
      <c r="AL102" s="416"/>
      <c r="AM102" s="419"/>
      <c r="AN102" s="419"/>
      <c r="AO102" s="11"/>
      <c r="AP102" s="11">
        <f t="shared" si="63"/>
        <v>9848.2999999999993</v>
      </c>
      <c r="AQ102" s="11">
        <f t="shared" si="64"/>
        <v>4851.9500000000007</v>
      </c>
      <c r="AR102" s="11">
        <f t="shared" si="53"/>
        <v>14700.25</v>
      </c>
      <c r="AS102" s="11"/>
      <c r="AT102" s="11"/>
      <c r="AU102" s="11">
        <f t="shared" ref="AU102:AU105" si="69">AC102*4%</f>
        <v>358.12</v>
      </c>
      <c r="AV102" s="11"/>
      <c r="AW102" s="11"/>
      <c r="AX102" s="11"/>
      <c r="AY102" s="11">
        <f t="shared" si="50"/>
        <v>15058.37</v>
      </c>
      <c r="AZ102" s="11"/>
      <c r="BA102" s="11">
        <f t="shared" si="65"/>
        <v>15058.37</v>
      </c>
      <c r="BB102" s="11">
        <f t="shared" si="66"/>
        <v>6341.6299999999992</v>
      </c>
      <c r="BC102" s="11">
        <f t="shared" si="67"/>
        <v>32100</v>
      </c>
      <c r="BD102" s="11">
        <f t="shared" si="68"/>
        <v>385200</v>
      </c>
      <c r="BE102" s="5" t="s">
        <v>86</v>
      </c>
    </row>
    <row r="103" spans="1:57">
      <c r="A103" s="285" t="s">
        <v>61</v>
      </c>
      <c r="B103" s="284" t="s">
        <v>663</v>
      </c>
      <c r="C103" s="24">
        <f t="shared" si="58"/>
        <v>1</v>
      </c>
      <c r="D103" s="24"/>
      <c r="E103" s="24">
        <v>1</v>
      </c>
      <c r="F103" s="24"/>
      <c r="G103" s="24"/>
      <c r="H103" s="24"/>
      <c r="I103" s="24"/>
      <c r="J103" s="24"/>
      <c r="K103" s="24"/>
      <c r="L103" s="24"/>
      <c r="M103" s="24"/>
      <c r="N103" s="24"/>
      <c r="O103" s="24">
        <f t="shared" si="60"/>
        <v>1</v>
      </c>
      <c r="P103" s="24"/>
      <c r="Q103" s="24">
        <v>1</v>
      </c>
      <c r="R103" s="24"/>
      <c r="S103" s="24"/>
      <c r="T103" s="24"/>
      <c r="U103" s="24"/>
      <c r="V103" s="24"/>
      <c r="W103" s="24"/>
      <c r="X103" s="24"/>
      <c r="Y103" s="24"/>
      <c r="Z103" s="24"/>
      <c r="AA103" s="25">
        <v>8729</v>
      </c>
      <c r="AB103" s="12"/>
      <c r="AC103" s="13">
        <f t="shared" si="52"/>
        <v>8729</v>
      </c>
      <c r="AD103" s="416"/>
      <c r="AE103" s="417">
        <f>AC103*AE31</f>
        <v>872.90000000000009</v>
      </c>
      <c r="AF103" s="416"/>
      <c r="AG103" s="416"/>
      <c r="AH103" s="417"/>
      <c r="AI103" s="416"/>
      <c r="AJ103" s="416"/>
      <c r="AK103" s="416"/>
      <c r="AL103" s="416"/>
      <c r="AM103" s="419"/>
      <c r="AN103" s="419"/>
      <c r="AO103" s="11"/>
      <c r="AP103" s="11">
        <f t="shared" si="63"/>
        <v>9601.9</v>
      </c>
      <c r="AQ103" s="11">
        <f t="shared" si="64"/>
        <v>5098.3500000000004</v>
      </c>
      <c r="AR103" s="11">
        <f t="shared" si="53"/>
        <v>14700.25</v>
      </c>
      <c r="AS103" s="11"/>
      <c r="AT103" s="11"/>
      <c r="AU103" s="11">
        <f t="shared" si="69"/>
        <v>349.16</v>
      </c>
      <c r="AV103" s="11"/>
      <c r="AW103" s="11"/>
      <c r="AX103" s="11"/>
      <c r="AY103" s="11">
        <f t="shared" si="50"/>
        <v>15049.41</v>
      </c>
      <c r="AZ103" s="11"/>
      <c r="BA103" s="11">
        <f t="shared" si="65"/>
        <v>15049.41</v>
      </c>
      <c r="BB103" s="11">
        <f t="shared" si="66"/>
        <v>6350.59</v>
      </c>
      <c r="BC103" s="11">
        <f t="shared" si="67"/>
        <v>32100</v>
      </c>
      <c r="BD103" s="11">
        <f t="shared" si="68"/>
        <v>385200</v>
      </c>
      <c r="BE103" s="5" t="s">
        <v>86</v>
      </c>
    </row>
    <row r="104" spans="1:57">
      <c r="A104" s="285" t="s">
        <v>61</v>
      </c>
      <c r="B104" s="284" t="s">
        <v>663</v>
      </c>
      <c r="C104" s="24">
        <f t="shared" si="58"/>
        <v>1</v>
      </c>
      <c r="D104" s="24"/>
      <c r="E104" s="24">
        <v>1</v>
      </c>
      <c r="F104" s="24"/>
      <c r="G104" s="24"/>
      <c r="H104" s="24"/>
      <c r="I104" s="24"/>
      <c r="J104" s="24"/>
      <c r="K104" s="24"/>
      <c r="L104" s="24"/>
      <c r="M104" s="24"/>
      <c r="N104" s="24"/>
      <c r="O104" s="24">
        <f t="shared" si="60"/>
        <v>1</v>
      </c>
      <c r="P104" s="24"/>
      <c r="Q104" s="24">
        <v>1</v>
      </c>
      <c r="R104" s="24"/>
      <c r="S104" s="24"/>
      <c r="T104" s="24"/>
      <c r="U104" s="24"/>
      <c r="V104" s="24"/>
      <c r="W104" s="24"/>
      <c r="X104" s="24"/>
      <c r="Y104" s="24"/>
      <c r="Z104" s="24"/>
      <c r="AA104" s="25">
        <v>8729</v>
      </c>
      <c r="AB104" s="12"/>
      <c r="AC104" s="13">
        <f t="shared" si="52"/>
        <v>8729</v>
      </c>
      <c r="AD104" s="416">
        <f>AC104*5%</f>
        <v>436.45000000000005</v>
      </c>
      <c r="AE104" s="416"/>
      <c r="AF104" s="416"/>
      <c r="AG104" s="416"/>
      <c r="AH104" s="417"/>
      <c r="AI104" s="416"/>
      <c r="AJ104" s="416"/>
      <c r="AK104" s="416"/>
      <c r="AL104" s="416"/>
      <c r="AM104" s="419"/>
      <c r="AN104" s="419"/>
      <c r="AO104" s="11"/>
      <c r="AP104" s="11">
        <f t="shared" si="63"/>
        <v>9165.4500000000007</v>
      </c>
      <c r="AQ104" s="11">
        <f t="shared" si="64"/>
        <v>5534.7999999999993</v>
      </c>
      <c r="AR104" s="11">
        <f t="shared" si="53"/>
        <v>14700.25</v>
      </c>
      <c r="AS104" s="11"/>
      <c r="AT104" s="11"/>
      <c r="AU104" s="11">
        <f t="shared" si="69"/>
        <v>349.16</v>
      </c>
      <c r="AV104" s="11"/>
      <c r="AW104" s="11"/>
      <c r="AX104" s="11"/>
      <c r="AY104" s="11">
        <f t="shared" si="50"/>
        <v>15049.41</v>
      </c>
      <c r="AZ104" s="11"/>
      <c r="BA104" s="11">
        <f t="shared" si="65"/>
        <v>15049.41</v>
      </c>
      <c r="BB104" s="11">
        <f t="shared" si="66"/>
        <v>6350.59</v>
      </c>
      <c r="BC104" s="11">
        <f t="shared" si="67"/>
        <v>32100</v>
      </c>
      <c r="BD104" s="11">
        <f t="shared" si="68"/>
        <v>385200</v>
      </c>
      <c r="BE104" s="5" t="s">
        <v>86</v>
      </c>
    </row>
    <row r="105" spans="1:57">
      <c r="A105" s="285" t="s">
        <v>61</v>
      </c>
      <c r="B105" s="284" t="s">
        <v>663</v>
      </c>
      <c r="C105" s="24">
        <f t="shared" si="58"/>
        <v>1</v>
      </c>
      <c r="D105" s="24"/>
      <c r="E105" s="24">
        <v>1</v>
      </c>
      <c r="F105" s="24"/>
      <c r="G105" s="24"/>
      <c r="H105" s="24"/>
      <c r="I105" s="24"/>
      <c r="J105" s="24"/>
      <c r="K105" s="24"/>
      <c r="L105" s="24"/>
      <c r="M105" s="24"/>
      <c r="N105" s="24"/>
      <c r="O105" s="24">
        <f t="shared" si="60"/>
        <v>1</v>
      </c>
      <c r="P105" s="24"/>
      <c r="Q105" s="24">
        <v>1</v>
      </c>
      <c r="R105" s="24"/>
      <c r="S105" s="24"/>
      <c r="T105" s="24"/>
      <c r="U105" s="24"/>
      <c r="V105" s="24"/>
      <c r="W105" s="24"/>
      <c r="X105" s="24"/>
      <c r="Y105" s="24"/>
      <c r="Z105" s="24"/>
      <c r="AA105" s="25">
        <v>8729</v>
      </c>
      <c r="AB105" s="12"/>
      <c r="AC105" s="13">
        <f t="shared" si="52"/>
        <v>8729</v>
      </c>
      <c r="AD105" s="416">
        <f>AC105*5%</f>
        <v>436.45000000000005</v>
      </c>
      <c r="AE105" s="416"/>
      <c r="AF105" s="416"/>
      <c r="AG105" s="416"/>
      <c r="AH105" s="417"/>
      <c r="AI105" s="416"/>
      <c r="AJ105" s="416"/>
      <c r="AK105" s="416"/>
      <c r="AL105" s="416"/>
      <c r="AM105" s="419"/>
      <c r="AN105" s="419"/>
      <c r="AO105" s="11"/>
      <c r="AP105" s="11">
        <f t="shared" si="63"/>
        <v>9165.4500000000007</v>
      </c>
      <c r="AQ105" s="11">
        <f t="shared" si="64"/>
        <v>5534.7999999999993</v>
      </c>
      <c r="AR105" s="11">
        <f t="shared" si="53"/>
        <v>14700.25</v>
      </c>
      <c r="AS105" s="11"/>
      <c r="AT105" s="11"/>
      <c r="AU105" s="11">
        <f t="shared" si="69"/>
        <v>349.16</v>
      </c>
      <c r="AV105" s="11"/>
      <c r="AW105" s="11"/>
      <c r="AX105" s="11"/>
      <c r="AY105" s="11">
        <f t="shared" si="50"/>
        <v>15049.41</v>
      </c>
      <c r="AZ105" s="11"/>
      <c r="BA105" s="11">
        <f t="shared" si="65"/>
        <v>15049.41</v>
      </c>
      <c r="BB105" s="11">
        <f t="shared" si="66"/>
        <v>6350.59</v>
      </c>
      <c r="BC105" s="11">
        <f t="shared" si="67"/>
        <v>32100</v>
      </c>
      <c r="BD105" s="11">
        <f t="shared" si="68"/>
        <v>385200</v>
      </c>
      <c r="BE105" s="5" t="s">
        <v>86</v>
      </c>
    </row>
    <row r="106" spans="1:57">
      <c r="A106" s="285" t="s">
        <v>61</v>
      </c>
      <c r="B106" s="284" t="s">
        <v>664</v>
      </c>
      <c r="C106" s="24">
        <f t="shared" si="58"/>
        <v>1</v>
      </c>
      <c r="D106" s="24"/>
      <c r="E106" s="24">
        <v>1</v>
      </c>
      <c r="F106" s="24"/>
      <c r="G106" s="24"/>
      <c r="H106" s="24"/>
      <c r="I106" s="24"/>
      <c r="J106" s="24"/>
      <c r="K106" s="24"/>
      <c r="L106" s="24"/>
      <c r="M106" s="24"/>
      <c r="N106" s="24"/>
      <c r="O106" s="24">
        <f t="shared" si="60"/>
        <v>1</v>
      </c>
      <c r="P106" s="24"/>
      <c r="Q106" s="24">
        <v>1</v>
      </c>
      <c r="R106" s="24"/>
      <c r="S106" s="24"/>
      <c r="T106" s="24"/>
      <c r="U106" s="24"/>
      <c r="V106" s="24"/>
      <c r="W106" s="24"/>
      <c r="X106" s="24"/>
      <c r="Y106" s="24"/>
      <c r="Z106" s="24"/>
      <c r="AA106" s="25">
        <v>8729</v>
      </c>
      <c r="AB106" s="12"/>
      <c r="AC106" s="13">
        <f t="shared" si="52"/>
        <v>8729</v>
      </c>
      <c r="AD106" s="416"/>
      <c r="AE106" s="417">
        <f>AC106*AE31</f>
        <v>872.90000000000009</v>
      </c>
      <c r="AF106" s="416"/>
      <c r="AG106" s="416"/>
      <c r="AH106" s="417"/>
      <c r="AI106" s="416"/>
      <c r="AJ106" s="416"/>
      <c r="AK106" s="416"/>
      <c r="AL106" s="416"/>
      <c r="AM106" s="419"/>
      <c r="AN106" s="419"/>
      <c r="AO106" s="11"/>
      <c r="AP106" s="11">
        <f t="shared" si="63"/>
        <v>9601.9</v>
      </c>
      <c r="AQ106" s="11">
        <f t="shared" si="64"/>
        <v>5098.3500000000004</v>
      </c>
      <c r="AR106" s="11">
        <f t="shared" si="53"/>
        <v>14700.25</v>
      </c>
      <c r="AS106" s="11"/>
      <c r="AT106" s="11"/>
      <c r="AU106" s="11"/>
      <c r="AV106" s="11"/>
      <c r="AW106" s="11"/>
      <c r="AX106" s="11"/>
      <c r="AY106" s="11">
        <f t="shared" si="50"/>
        <v>14700.25</v>
      </c>
      <c r="AZ106" s="11"/>
      <c r="BA106" s="11">
        <f t="shared" si="65"/>
        <v>14700.25</v>
      </c>
      <c r="BB106" s="11">
        <f t="shared" si="66"/>
        <v>6699.75</v>
      </c>
      <c r="BC106" s="11">
        <f t="shared" si="67"/>
        <v>32100</v>
      </c>
      <c r="BD106" s="11">
        <f t="shared" si="68"/>
        <v>385200</v>
      </c>
      <c r="BE106" s="5" t="s">
        <v>86</v>
      </c>
    </row>
    <row r="107" spans="1:57">
      <c r="A107" s="285" t="s">
        <v>61</v>
      </c>
      <c r="B107" s="284" t="s">
        <v>664</v>
      </c>
      <c r="C107" s="24">
        <f t="shared" si="58"/>
        <v>1</v>
      </c>
      <c r="D107" s="24"/>
      <c r="E107" s="24">
        <v>1</v>
      </c>
      <c r="F107" s="24"/>
      <c r="G107" s="24"/>
      <c r="H107" s="24"/>
      <c r="I107" s="24"/>
      <c r="J107" s="24"/>
      <c r="K107" s="24"/>
      <c r="L107" s="24"/>
      <c r="M107" s="24"/>
      <c r="N107" s="24"/>
      <c r="O107" s="24">
        <f t="shared" si="60"/>
        <v>1</v>
      </c>
      <c r="P107" s="24"/>
      <c r="Q107" s="24">
        <v>1</v>
      </c>
      <c r="R107" s="24"/>
      <c r="S107" s="24"/>
      <c r="T107" s="24"/>
      <c r="U107" s="24"/>
      <c r="V107" s="24"/>
      <c r="W107" s="24"/>
      <c r="X107" s="24"/>
      <c r="Y107" s="24"/>
      <c r="Z107" s="24"/>
      <c r="AA107" s="25">
        <v>8729</v>
      </c>
      <c r="AB107" s="12"/>
      <c r="AC107" s="13">
        <f t="shared" si="52"/>
        <v>8729</v>
      </c>
      <c r="AD107" s="416"/>
      <c r="AE107" s="417">
        <f>AC107*AE31</f>
        <v>872.90000000000009</v>
      </c>
      <c r="AF107" s="416"/>
      <c r="AG107" s="416"/>
      <c r="AH107" s="417"/>
      <c r="AI107" s="416"/>
      <c r="AJ107" s="416"/>
      <c r="AK107" s="416"/>
      <c r="AL107" s="416"/>
      <c r="AM107" s="419"/>
      <c r="AN107" s="419"/>
      <c r="AO107" s="11"/>
      <c r="AP107" s="11">
        <f t="shared" si="63"/>
        <v>9601.9</v>
      </c>
      <c r="AQ107" s="11">
        <f t="shared" si="64"/>
        <v>5098.3500000000004</v>
      </c>
      <c r="AR107" s="11">
        <f t="shared" si="53"/>
        <v>14700.25</v>
      </c>
      <c r="AS107" s="11"/>
      <c r="AT107" s="11"/>
      <c r="AU107" s="11"/>
      <c r="AV107" s="11"/>
      <c r="AW107" s="11"/>
      <c r="AX107" s="11"/>
      <c r="AY107" s="11">
        <f t="shared" si="50"/>
        <v>14700.25</v>
      </c>
      <c r="AZ107" s="11"/>
      <c r="BA107" s="11">
        <f t="shared" si="65"/>
        <v>14700.25</v>
      </c>
      <c r="BB107" s="11">
        <f t="shared" si="66"/>
        <v>6699.75</v>
      </c>
      <c r="BC107" s="11">
        <f t="shared" si="67"/>
        <v>32100</v>
      </c>
      <c r="BD107" s="11">
        <f t="shared" si="68"/>
        <v>385200</v>
      </c>
      <c r="BE107" s="5" t="s">
        <v>86</v>
      </c>
    </row>
    <row r="108" spans="1:57">
      <c r="A108" s="285" t="s">
        <v>61</v>
      </c>
      <c r="B108" s="284" t="s">
        <v>664</v>
      </c>
      <c r="C108" s="24">
        <f t="shared" si="58"/>
        <v>1</v>
      </c>
      <c r="D108" s="24"/>
      <c r="E108" s="24">
        <v>1</v>
      </c>
      <c r="F108" s="24"/>
      <c r="G108" s="24"/>
      <c r="H108" s="24"/>
      <c r="I108" s="24"/>
      <c r="J108" s="24"/>
      <c r="K108" s="24"/>
      <c r="L108" s="24"/>
      <c r="M108" s="24"/>
      <c r="N108" s="24"/>
      <c r="O108" s="24">
        <f t="shared" si="60"/>
        <v>1</v>
      </c>
      <c r="P108" s="24"/>
      <c r="Q108" s="24">
        <v>1</v>
      </c>
      <c r="R108" s="24"/>
      <c r="S108" s="24"/>
      <c r="T108" s="24"/>
      <c r="U108" s="24"/>
      <c r="V108" s="24"/>
      <c r="W108" s="24"/>
      <c r="X108" s="24"/>
      <c r="Y108" s="24"/>
      <c r="Z108" s="24"/>
      <c r="AA108" s="25">
        <v>8729</v>
      </c>
      <c r="AB108" s="12"/>
      <c r="AC108" s="13">
        <f t="shared" si="52"/>
        <v>8729</v>
      </c>
      <c r="AD108" s="417">
        <f>AC108*AD31</f>
        <v>436.45000000000005</v>
      </c>
      <c r="AE108" s="416"/>
      <c r="AF108" s="416"/>
      <c r="AG108" s="416"/>
      <c r="AH108" s="417"/>
      <c r="AI108" s="416"/>
      <c r="AJ108" s="416"/>
      <c r="AK108" s="416"/>
      <c r="AL108" s="416"/>
      <c r="AM108" s="419"/>
      <c r="AN108" s="419"/>
      <c r="AO108" s="11"/>
      <c r="AP108" s="11">
        <f t="shared" si="63"/>
        <v>9165.4500000000007</v>
      </c>
      <c r="AQ108" s="11">
        <f t="shared" si="64"/>
        <v>5534.7999999999993</v>
      </c>
      <c r="AR108" s="11">
        <f t="shared" si="53"/>
        <v>14700.25</v>
      </c>
      <c r="AS108" s="11"/>
      <c r="AT108" s="11"/>
      <c r="AU108" s="11"/>
      <c r="AV108" s="11"/>
      <c r="AW108" s="11"/>
      <c r="AX108" s="11"/>
      <c r="AY108" s="11">
        <f t="shared" si="50"/>
        <v>14700.25</v>
      </c>
      <c r="AZ108" s="11"/>
      <c r="BA108" s="11">
        <f t="shared" si="65"/>
        <v>14700.25</v>
      </c>
      <c r="BB108" s="11">
        <f t="shared" si="66"/>
        <v>6699.75</v>
      </c>
      <c r="BC108" s="11">
        <f t="shared" si="67"/>
        <v>32100</v>
      </c>
      <c r="BD108" s="11">
        <f t="shared" si="68"/>
        <v>385200</v>
      </c>
      <c r="BE108" s="5" t="s">
        <v>86</v>
      </c>
    </row>
    <row r="109" spans="1:57">
      <c r="A109" s="285" t="s">
        <v>61</v>
      </c>
      <c r="B109" s="284" t="s">
        <v>664</v>
      </c>
      <c r="C109" s="24">
        <f t="shared" si="58"/>
        <v>1</v>
      </c>
      <c r="D109" s="24"/>
      <c r="E109" s="24">
        <v>1</v>
      </c>
      <c r="F109" s="24"/>
      <c r="G109" s="24"/>
      <c r="H109" s="24"/>
      <c r="I109" s="24"/>
      <c r="J109" s="24"/>
      <c r="K109" s="24"/>
      <c r="L109" s="24"/>
      <c r="M109" s="24"/>
      <c r="N109" s="24"/>
      <c r="O109" s="24">
        <f t="shared" si="60"/>
        <v>1</v>
      </c>
      <c r="P109" s="24"/>
      <c r="Q109" s="24">
        <v>1</v>
      </c>
      <c r="R109" s="24"/>
      <c r="S109" s="24"/>
      <c r="T109" s="24"/>
      <c r="U109" s="24"/>
      <c r="V109" s="24"/>
      <c r="W109" s="24"/>
      <c r="X109" s="24"/>
      <c r="Y109" s="24"/>
      <c r="Z109" s="24"/>
      <c r="AA109" s="25">
        <v>8729</v>
      </c>
      <c r="AB109" s="12"/>
      <c r="AC109" s="13">
        <f t="shared" si="52"/>
        <v>8729</v>
      </c>
      <c r="AD109" s="416"/>
      <c r="AE109" s="416">
        <f>AC109*10%</f>
        <v>872.90000000000009</v>
      </c>
      <c r="AF109" s="416"/>
      <c r="AG109" s="416"/>
      <c r="AH109" s="417"/>
      <c r="AI109" s="416"/>
      <c r="AJ109" s="416"/>
      <c r="AK109" s="416"/>
      <c r="AL109" s="416"/>
      <c r="AM109" s="419"/>
      <c r="AN109" s="419"/>
      <c r="AO109" s="11"/>
      <c r="AP109" s="11">
        <f t="shared" si="63"/>
        <v>9601.9</v>
      </c>
      <c r="AQ109" s="11">
        <f t="shared" si="64"/>
        <v>5098.3500000000004</v>
      </c>
      <c r="AR109" s="11">
        <f t="shared" si="53"/>
        <v>14700.25</v>
      </c>
      <c r="AS109" s="11"/>
      <c r="AT109" s="11"/>
      <c r="AU109" s="11"/>
      <c r="AV109" s="11"/>
      <c r="AW109" s="11"/>
      <c r="AX109" s="11"/>
      <c r="AY109" s="11">
        <f t="shared" si="50"/>
        <v>14700.25</v>
      </c>
      <c r="AZ109" s="11"/>
      <c r="BA109" s="11">
        <f t="shared" si="65"/>
        <v>14700.25</v>
      </c>
      <c r="BB109" s="11">
        <f t="shared" si="66"/>
        <v>6699.75</v>
      </c>
      <c r="BC109" s="11">
        <f t="shared" si="67"/>
        <v>32100</v>
      </c>
      <c r="BD109" s="11">
        <f t="shared" si="68"/>
        <v>385200</v>
      </c>
      <c r="BE109" s="5" t="s">
        <v>86</v>
      </c>
    </row>
    <row r="110" spans="1:57">
      <c r="A110" s="285" t="s">
        <v>61</v>
      </c>
      <c r="B110" s="284" t="s">
        <v>665</v>
      </c>
      <c r="C110" s="24">
        <f t="shared" si="58"/>
        <v>1</v>
      </c>
      <c r="D110" s="24"/>
      <c r="E110" s="24">
        <v>1</v>
      </c>
      <c r="F110" s="24"/>
      <c r="G110" s="24"/>
      <c r="H110" s="24"/>
      <c r="I110" s="24"/>
      <c r="J110" s="24"/>
      <c r="K110" s="24"/>
      <c r="L110" s="24"/>
      <c r="M110" s="24"/>
      <c r="N110" s="24"/>
      <c r="O110" s="24">
        <f t="shared" si="60"/>
        <v>1</v>
      </c>
      <c r="P110" s="24"/>
      <c r="Q110" s="24">
        <v>1</v>
      </c>
      <c r="R110" s="24"/>
      <c r="S110" s="24"/>
      <c r="T110" s="24"/>
      <c r="U110" s="24"/>
      <c r="V110" s="24"/>
      <c r="W110" s="24"/>
      <c r="X110" s="24"/>
      <c r="Y110" s="24"/>
      <c r="Z110" s="24"/>
      <c r="AA110" s="25">
        <v>8729</v>
      </c>
      <c r="AB110" s="12"/>
      <c r="AC110" s="13">
        <f t="shared" si="52"/>
        <v>8729</v>
      </c>
      <c r="AD110" s="417">
        <f>AC110*AD31</f>
        <v>436.45000000000005</v>
      </c>
      <c r="AE110" s="416"/>
      <c r="AF110" s="416"/>
      <c r="AG110" s="416"/>
      <c r="AH110" s="417"/>
      <c r="AI110" s="416"/>
      <c r="AJ110" s="416"/>
      <c r="AK110" s="416"/>
      <c r="AL110" s="416"/>
      <c r="AM110" s="419"/>
      <c r="AN110" s="419"/>
      <c r="AO110" s="11"/>
      <c r="AP110" s="11">
        <f t="shared" si="63"/>
        <v>9165.4500000000007</v>
      </c>
      <c r="AQ110" s="11">
        <f t="shared" si="64"/>
        <v>5534.7999999999993</v>
      </c>
      <c r="AR110" s="11">
        <f t="shared" si="53"/>
        <v>14700.25</v>
      </c>
      <c r="AS110" s="11"/>
      <c r="AT110" s="11"/>
      <c r="AU110" s="11"/>
      <c r="AV110" s="11"/>
      <c r="AW110" s="11"/>
      <c r="AX110" s="11"/>
      <c r="AY110" s="11">
        <f t="shared" si="50"/>
        <v>14700.25</v>
      </c>
      <c r="AZ110" s="11"/>
      <c r="BA110" s="11">
        <f t="shared" si="65"/>
        <v>14700.25</v>
      </c>
      <c r="BB110" s="11">
        <f t="shared" si="66"/>
        <v>6699.75</v>
      </c>
      <c r="BC110" s="11">
        <f t="shared" si="67"/>
        <v>32100</v>
      </c>
      <c r="BD110" s="11">
        <f t="shared" si="68"/>
        <v>385200</v>
      </c>
      <c r="BE110" s="5" t="s">
        <v>86</v>
      </c>
    </row>
    <row r="111" spans="1:57">
      <c r="A111" s="285" t="s">
        <v>61</v>
      </c>
      <c r="B111" s="284" t="s">
        <v>665</v>
      </c>
      <c r="C111" s="24">
        <f t="shared" si="58"/>
        <v>1</v>
      </c>
      <c r="D111" s="24"/>
      <c r="E111" s="24">
        <v>1</v>
      </c>
      <c r="F111" s="24"/>
      <c r="G111" s="24"/>
      <c r="H111" s="24"/>
      <c r="I111" s="24"/>
      <c r="J111" s="24"/>
      <c r="K111" s="24"/>
      <c r="L111" s="24"/>
      <c r="M111" s="24"/>
      <c r="N111" s="24"/>
      <c r="O111" s="24">
        <f t="shared" si="60"/>
        <v>1</v>
      </c>
      <c r="P111" s="24"/>
      <c r="Q111" s="24">
        <v>1</v>
      </c>
      <c r="R111" s="24"/>
      <c r="S111" s="24"/>
      <c r="T111" s="24"/>
      <c r="U111" s="24"/>
      <c r="V111" s="24"/>
      <c r="W111" s="24"/>
      <c r="X111" s="24"/>
      <c r="Y111" s="24"/>
      <c r="Z111" s="24"/>
      <c r="AA111" s="25">
        <v>8729</v>
      </c>
      <c r="AB111" s="12"/>
      <c r="AC111" s="13">
        <f t="shared" si="52"/>
        <v>8729</v>
      </c>
      <c r="AD111" s="417">
        <f>AC111*AD31</f>
        <v>436.45000000000005</v>
      </c>
      <c r="AE111" s="416"/>
      <c r="AF111" s="416"/>
      <c r="AG111" s="416"/>
      <c r="AH111" s="417"/>
      <c r="AI111" s="416"/>
      <c r="AJ111" s="416"/>
      <c r="AK111" s="416"/>
      <c r="AL111" s="416"/>
      <c r="AM111" s="419"/>
      <c r="AN111" s="419"/>
      <c r="AO111" s="11"/>
      <c r="AP111" s="11">
        <f t="shared" si="63"/>
        <v>9165.4500000000007</v>
      </c>
      <c r="AQ111" s="11">
        <f t="shared" si="64"/>
        <v>5534.7999999999993</v>
      </c>
      <c r="AR111" s="11">
        <f t="shared" si="53"/>
        <v>14700.25</v>
      </c>
      <c r="AS111" s="11"/>
      <c r="AT111" s="11"/>
      <c r="AU111" s="11"/>
      <c r="AV111" s="11"/>
      <c r="AW111" s="11"/>
      <c r="AX111" s="11"/>
      <c r="AY111" s="11">
        <f t="shared" si="50"/>
        <v>14700.25</v>
      </c>
      <c r="AZ111" s="11"/>
      <c r="BA111" s="11">
        <f t="shared" si="65"/>
        <v>14700.25</v>
      </c>
      <c r="BB111" s="11">
        <f t="shared" si="66"/>
        <v>6699.75</v>
      </c>
      <c r="BC111" s="11">
        <f t="shared" si="67"/>
        <v>32100</v>
      </c>
      <c r="BD111" s="11">
        <f t="shared" si="68"/>
        <v>385200</v>
      </c>
      <c r="BE111" s="5" t="s">
        <v>86</v>
      </c>
    </row>
    <row r="112" spans="1:57">
      <c r="A112" s="285" t="s">
        <v>61</v>
      </c>
      <c r="B112" s="284" t="s">
        <v>665</v>
      </c>
      <c r="C112" s="24">
        <f t="shared" si="58"/>
        <v>1</v>
      </c>
      <c r="D112" s="24"/>
      <c r="E112" s="24">
        <v>1</v>
      </c>
      <c r="F112" s="24"/>
      <c r="G112" s="24"/>
      <c r="H112" s="24"/>
      <c r="I112" s="24"/>
      <c r="J112" s="24"/>
      <c r="K112" s="24"/>
      <c r="L112" s="24"/>
      <c r="M112" s="24"/>
      <c r="N112" s="24"/>
      <c r="O112" s="24">
        <f t="shared" si="60"/>
        <v>1</v>
      </c>
      <c r="P112" s="24"/>
      <c r="Q112" s="24">
        <v>1</v>
      </c>
      <c r="R112" s="24"/>
      <c r="S112" s="24"/>
      <c r="T112" s="24"/>
      <c r="U112" s="24"/>
      <c r="V112" s="24"/>
      <c r="W112" s="24"/>
      <c r="X112" s="24"/>
      <c r="Y112" s="24"/>
      <c r="Z112" s="24"/>
      <c r="AA112" s="25">
        <v>8729</v>
      </c>
      <c r="AB112" s="12"/>
      <c r="AC112" s="13">
        <f t="shared" si="52"/>
        <v>8729</v>
      </c>
      <c r="AD112" s="416">
        <f>AC112*5%</f>
        <v>436.45000000000005</v>
      </c>
      <c r="AE112" s="416"/>
      <c r="AF112" s="416"/>
      <c r="AG112" s="416"/>
      <c r="AH112" s="417"/>
      <c r="AI112" s="416"/>
      <c r="AJ112" s="416"/>
      <c r="AK112" s="416"/>
      <c r="AL112" s="416"/>
      <c r="AM112" s="419"/>
      <c r="AN112" s="419"/>
      <c r="AO112" s="11"/>
      <c r="AP112" s="11">
        <f t="shared" si="63"/>
        <v>9165.4500000000007</v>
      </c>
      <c r="AQ112" s="11">
        <f t="shared" si="64"/>
        <v>5534.7999999999993</v>
      </c>
      <c r="AR112" s="11">
        <f t="shared" si="53"/>
        <v>14700.25</v>
      </c>
      <c r="AS112" s="11"/>
      <c r="AT112" s="11"/>
      <c r="AU112" s="11"/>
      <c r="AV112" s="11"/>
      <c r="AW112" s="11"/>
      <c r="AX112" s="11"/>
      <c r="AY112" s="11">
        <f t="shared" si="50"/>
        <v>14700.25</v>
      </c>
      <c r="AZ112" s="11"/>
      <c r="BA112" s="11">
        <f t="shared" si="65"/>
        <v>14700.25</v>
      </c>
      <c r="BB112" s="11">
        <f t="shared" si="66"/>
        <v>6699.75</v>
      </c>
      <c r="BC112" s="11">
        <f t="shared" si="67"/>
        <v>32100</v>
      </c>
      <c r="BD112" s="11">
        <f t="shared" si="68"/>
        <v>385200</v>
      </c>
      <c r="BE112" s="5" t="s">
        <v>86</v>
      </c>
    </row>
    <row r="113" spans="1:57">
      <c r="A113" s="285" t="s">
        <v>61</v>
      </c>
      <c r="B113" s="284" t="s">
        <v>665</v>
      </c>
      <c r="C113" s="24">
        <f t="shared" si="58"/>
        <v>1</v>
      </c>
      <c r="D113" s="24"/>
      <c r="E113" s="24">
        <v>1</v>
      </c>
      <c r="F113" s="24"/>
      <c r="G113" s="24"/>
      <c r="H113" s="24"/>
      <c r="I113" s="24"/>
      <c r="J113" s="24"/>
      <c r="K113" s="24"/>
      <c r="L113" s="24"/>
      <c r="M113" s="24"/>
      <c r="N113" s="24"/>
      <c r="O113" s="24">
        <f t="shared" si="60"/>
        <v>1</v>
      </c>
      <c r="P113" s="24"/>
      <c r="Q113" s="24">
        <v>1</v>
      </c>
      <c r="R113" s="24"/>
      <c r="S113" s="24"/>
      <c r="T113" s="24"/>
      <c r="U113" s="24"/>
      <c r="V113" s="24"/>
      <c r="W113" s="24"/>
      <c r="X113" s="24"/>
      <c r="Y113" s="24"/>
      <c r="Z113" s="24"/>
      <c r="AA113" s="25">
        <v>8729</v>
      </c>
      <c r="AB113" s="12"/>
      <c r="AC113" s="13">
        <f t="shared" si="52"/>
        <v>8729</v>
      </c>
      <c r="AD113" s="416"/>
      <c r="AE113" s="416"/>
      <c r="AF113" s="416"/>
      <c r="AG113" s="416"/>
      <c r="AH113" s="417"/>
      <c r="AI113" s="416"/>
      <c r="AJ113" s="416"/>
      <c r="AK113" s="416"/>
      <c r="AL113" s="416"/>
      <c r="AM113" s="419"/>
      <c r="AN113" s="419"/>
      <c r="AO113" s="11"/>
      <c r="AP113" s="11">
        <f t="shared" si="63"/>
        <v>8729</v>
      </c>
      <c r="AQ113" s="11">
        <f t="shared" si="64"/>
        <v>5971.25</v>
      </c>
      <c r="AR113" s="11">
        <f t="shared" si="53"/>
        <v>14700.25</v>
      </c>
      <c r="AS113" s="11"/>
      <c r="AT113" s="11"/>
      <c r="AU113" s="11"/>
      <c r="AV113" s="11"/>
      <c r="AW113" s="11"/>
      <c r="AX113" s="11"/>
      <c r="AY113" s="11">
        <f t="shared" si="50"/>
        <v>14700.25</v>
      </c>
      <c r="AZ113" s="11"/>
      <c r="BA113" s="11">
        <f t="shared" si="65"/>
        <v>14700.25</v>
      </c>
      <c r="BB113" s="11">
        <f t="shared" si="66"/>
        <v>6699.75</v>
      </c>
      <c r="BC113" s="11">
        <f t="shared" si="67"/>
        <v>32100</v>
      </c>
      <c r="BD113" s="11">
        <f t="shared" si="68"/>
        <v>385200</v>
      </c>
      <c r="BE113" s="5"/>
    </row>
    <row r="114" spans="1:57">
      <c r="A114" s="285" t="s">
        <v>61</v>
      </c>
      <c r="B114" s="284" t="s">
        <v>687</v>
      </c>
      <c r="C114" s="24">
        <f t="shared" si="58"/>
        <v>0</v>
      </c>
      <c r="D114" s="24"/>
      <c r="E114" s="24">
        <v>0</v>
      </c>
      <c r="F114" s="24"/>
      <c r="G114" s="24"/>
      <c r="H114" s="24"/>
      <c r="I114" s="24"/>
      <c r="J114" s="24"/>
      <c r="K114" s="24"/>
      <c r="L114" s="24"/>
      <c r="M114" s="24"/>
      <c r="N114" s="24"/>
      <c r="O114" s="24">
        <f t="shared" si="60"/>
        <v>1</v>
      </c>
      <c r="P114" s="24"/>
      <c r="Q114" s="24">
        <v>1</v>
      </c>
      <c r="R114" s="24"/>
      <c r="S114" s="24"/>
      <c r="T114" s="24"/>
      <c r="U114" s="24"/>
      <c r="V114" s="24"/>
      <c r="W114" s="24"/>
      <c r="X114" s="24"/>
      <c r="Y114" s="24"/>
      <c r="Z114" s="24"/>
      <c r="AA114" s="25">
        <v>8953</v>
      </c>
      <c r="AB114" s="12"/>
      <c r="AC114" s="13">
        <f t="shared" si="52"/>
        <v>8953</v>
      </c>
      <c r="AD114" s="13"/>
      <c r="AE114" s="26"/>
      <c r="AF114" s="27"/>
      <c r="AG114" s="26"/>
      <c r="AH114" s="28"/>
      <c r="AI114" s="28"/>
      <c r="AJ114" s="28"/>
      <c r="AK114" s="28"/>
      <c r="AL114" s="28"/>
      <c r="AM114" s="11"/>
      <c r="AN114" s="11"/>
      <c r="AO114" s="11"/>
      <c r="AP114" s="11">
        <f t="shared" si="63"/>
        <v>8953</v>
      </c>
      <c r="AQ114" s="11">
        <f t="shared" si="64"/>
        <v>5747.25</v>
      </c>
      <c r="AR114" s="11">
        <f t="shared" si="53"/>
        <v>14700.25</v>
      </c>
      <c r="AS114" s="11"/>
      <c r="AT114" s="11"/>
      <c r="AU114" s="11"/>
      <c r="AV114" s="11"/>
      <c r="AW114" s="11"/>
      <c r="AX114" s="11"/>
      <c r="AY114" s="11">
        <f t="shared" si="50"/>
        <v>14700.25</v>
      </c>
      <c r="AZ114" s="11"/>
      <c r="BA114" s="11">
        <f t="shared" si="65"/>
        <v>14700.25</v>
      </c>
      <c r="BB114" s="11">
        <f t="shared" si="66"/>
        <v>6699.75</v>
      </c>
      <c r="BC114" s="11">
        <f t="shared" si="67"/>
        <v>32100</v>
      </c>
      <c r="BD114" s="11">
        <f t="shared" si="68"/>
        <v>0</v>
      </c>
      <c r="BE114" s="5" t="s">
        <v>86</v>
      </c>
    </row>
    <row r="115" spans="1:57">
      <c r="A115" s="285"/>
      <c r="B115" s="283" t="s">
        <v>666</v>
      </c>
      <c r="C115" s="24">
        <f t="shared" si="58"/>
        <v>0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>
        <f t="shared" si="60"/>
        <v>0</v>
      </c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5"/>
      <c r="AB115" s="12"/>
      <c r="AC115" s="13">
        <f t="shared" si="52"/>
        <v>0</v>
      </c>
      <c r="AD115" s="13"/>
      <c r="AE115" s="26"/>
      <c r="AF115" s="27"/>
      <c r="AG115" s="26"/>
      <c r="AH115" s="28"/>
      <c r="AI115" s="28"/>
      <c r="AJ115" s="28"/>
      <c r="AK115" s="28"/>
      <c r="AL115" s="28"/>
      <c r="AM115" s="11"/>
      <c r="AN115" s="11"/>
      <c r="AO115" s="11"/>
      <c r="AP115" s="11">
        <f t="shared" si="63"/>
        <v>0</v>
      </c>
      <c r="AQ115" s="11">
        <f t="shared" si="64"/>
        <v>14700.25</v>
      </c>
      <c r="AR115" s="11">
        <f t="shared" si="53"/>
        <v>14700.25</v>
      </c>
      <c r="AS115" s="11"/>
      <c r="AT115" s="11"/>
      <c r="AU115" s="11"/>
      <c r="AV115" s="11"/>
      <c r="AW115" s="11"/>
      <c r="AX115" s="11"/>
      <c r="AY115" s="11">
        <f t="shared" si="50"/>
        <v>14700.25</v>
      </c>
      <c r="AZ115" s="11"/>
      <c r="BA115" s="11">
        <f t="shared" si="65"/>
        <v>14700.25</v>
      </c>
      <c r="BB115" s="11">
        <f t="shared" si="66"/>
        <v>0</v>
      </c>
      <c r="BC115" s="11">
        <f t="shared" si="67"/>
        <v>22050.375</v>
      </c>
      <c r="BD115" s="11">
        <f t="shared" si="68"/>
        <v>0</v>
      </c>
      <c r="BE115" s="5" t="s">
        <v>86</v>
      </c>
    </row>
    <row r="116" spans="1:57">
      <c r="A116" s="285" t="s">
        <v>55</v>
      </c>
      <c r="B116" s="284" t="s">
        <v>667</v>
      </c>
      <c r="C116" s="24">
        <f t="shared" si="58"/>
        <v>1</v>
      </c>
      <c r="D116" s="24">
        <v>1</v>
      </c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>
        <f t="shared" si="60"/>
        <v>1</v>
      </c>
      <c r="P116" s="24">
        <v>1</v>
      </c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5">
        <v>14931</v>
      </c>
      <c r="AB116" s="12"/>
      <c r="AC116" s="13">
        <f t="shared" si="52"/>
        <v>14931</v>
      </c>
      <c r="AD116" s="408"/>
      <c r="AE116" s="408">
        <f>AC116*AE31</f>
        <v>1493.1000000000001</v>
      </c>
      <c r="AF116" s="408">
        <f>AD116*AF106</f>
        <v>0</v>
      </c>
      <c r="AG116" s="408"/>
      <c r="AH116" s="409"/>
      <c r="AI116" s="409"/>
      <c r="AJ116" s="409"/>
      <c r="AK116" s="409"/>
      <c r="AL116" s="408"/>
      <c r="AM116" s="410"/>
      <c r="AN116" s="410"/>
      <c r="AO116" s="408"/>
      <c r="AP116" s="11">
        <f t="shared" si="63"/>
        <v>16424.099999999999</v>
      </c>
      <c r="AQ116" s="11">
        <f t="shared" si="64"/>
        <v>0</v>
      </c>
      <c r="AR116" s="11">
        <f t="shared" si="53"/>
        <v>16424.099999999999</v>
      </c>
      <c r="AS116" s="11"/>
      <c r="AT116" s="11"/>
      <c r="AU116" s="11"/>
      <c r="AV116" s="11"/>
      <c r="AW116" s="11"/>
      <c r="AX116" s="11"/>
      <c r="AY116" s="11">
        <f t="shared" si="50"/>
        <v>16424.099999999999</v>
      </c>
      <c r="AZ116" s="11"/>
      <c r="BA116" s="11">
        <f t="shared" si="65"/>
        <v>16424.099999999999</v>
      </c>
      <c r="BB116" s="11">
        <f t="shared" si="66"/>
        <v>11077.900000000001</v>
      </c>
      <c r="BC116" s="11">
        <f t="shared" si="67"/>
        <v>41253</v>
      </c>
      <c r="BD116" s="11">
        <f t="shared" si="68"/>
        <v>495036</v>
      </c>
      <c r="BE116" s="5" t="s">
        <v>86</v>
      </c>
    </row>
    <row r="117" spans="1:57">
      <c r="A117" s="285" t="s">
        <v>55</v>
      </c>
      <c r="B117" s="284" t="s">
        <v>668</v>
      </c>
      <c r="C117" s="24">
        <f t="shared" si="58"/>
        <v>1</v>
      </c>
      <c r="D117" s="24"/>
      <c r="E117" s="24">
        <v>1</v>
      </c>
      <c r="F117" s="24"/>
      <c r="G117" s="24"/>
      <c r="H117" s="24"/>
      <c r="I117" s="24"/>
      <c r="J117" s="24"/>
      <c r="K117" s="24"/>
      <c r="L117" s="24"/>
      <c r="M117" s="24"/>
      <c r="N117" s="24"/>
      <c r="O117" s="24">
        <f t="shared" si="60"/>
        <v>1</v>
      </c>
      <c r="P117" s="24"/>
      <c r="Q117" s="24">
        <v>1</v>
      </c>
      <c r="R117" s="24"/>
      <c r="S117" s="24"/>
      <c r="T117" s="24"/>
      <c r="U117" s="24"/>
      <c r="V117" s="24"/>
      <c r="W117" s="24"/>
      <c r="X117" s="24"/>
      <c r="Y117" s="24"/>
      <c r="Z117" s="24"/>
      <c r="AA117" s="25">
        <v>11955</v>
      </c>
      <c r="AB117" s="12"/>
      <c r="AC117" s="13">
        <f t="shared" si="52"/>
        <v>11955</v>
      </c>
      <c r="AD117" s="13">
        <f>AC117*5%</f>
        <v>597.75</v>
      </c>
      <c r="AE117" s="26"/>
      <c r="AF117" s="27"/>
      <c r="AG117" s="26"/>
      <c r="AH117" s="28"/>
      <c r="AI117" s="28"/>
      <c r="AJ117" s="28"/>
      <c r="AK117" s="28"/>
      <c r="AL117" s="28"/>
      <c r="AM117" s="11"/>
      <c r="AN117" s="11"/>
      <c r="AO117" s="11"/>
      <c r="AP117" s="11">
        <f t="shared" si="63"/>
        <v>12552.75</v>
      </c>
      <c r="AQ117" s="11">
        <f t="shared" si="64"/>
        <v>2147.5</v>
      </c>
      <c r="AR117" s="11">
        <f t="shared" si="53"/>
        <v>14700.25</v>
      </c>
      <c r="AS117" s="11"/>
      <c r="AT117" s="11"/>
      <c r="AU117" s="11"/>
      <c r="AV117" s="11"/>
      <c r="AW117" s="11"/>
      <c r="AX117" s="11"/>
      <c r="AY117" s="11">
        <f t="shared" si="50"/>
        <v>14700.25</v>
      </c>
      <c r="AZ117" s="11"/>
      <c r="BA117" s="11">
        <f t="shared" si="65"/>
        <v>14700.25</v>
      </c>
      <c r="BB117" s="11">
        <f t="shared" si="66"/>
        <v>12801.75</v>
      </c>
      <c r="BC117" s="11">
        <f t="shared" si="67"/>
        <v>41253</v>
      </c>
      <c r="BD117" s="11">
        <f t="shared" si="68"/>
        <v>495036</v>
      </c>
      <c r="BE117" s="5" t="s">
        <v>86</v>
      </c>
    </row>
    <row r="118" spans="1:57">
      <c r="A118" s="285" t="s">
        <v>55</v>
      </c>
      <c r="B118" s="284" t="s">
        <v>668</v>
      </c>
      <c r="C118" s="24">
        <f t="shared" si="58"/>
        <v>1</v>
      </c>
      <c r="D118" s="24"/>
      <c r="E118" s="24">
        <v>1</v>
      </c>
      <c r="F118" s="24"/>
      <c r="G118" s="24"/>
      <c r="H118" s="24"/>
      <c r="I118" s="24"/>
      <c r="J118" s="24"/>
      <c r="K118" s="24"/>
      <c r="L118" s="24"/>
      <c r="M118" s="24"/>
      <c r="N118" s="24"/>
      <c r="O118" s="24">
        <f t="shared" si="60"/>
        <v>1</v>
      </c>
      <c r="P118" s="24"/>
      <c r="Q118" s="24">
        <v>1</v>
      </c>
      <c r="R118" s="24"/>
      <c r="S118" s="24"/>
      <c r="T118" s="24"/>
      <c r="U118" s="24"/>
      <c r="V118" s="24"/>
      <c r="W118" s="24"/>
      <c r="X118" s="24"/>
      <c r="Y118" s="24"/>
      <c r="Z118" s="24"/>
      <c r="AA118" s="25">
        <v>11955</v>
      </c>
      <c r="AB118" s="12"/>
      <c r="AC118" s="13">
        <f t="shared" si="52"/>
        <v>11955</v>
      </c>
      <c r="AD118" s="13"/>
      <c r="AE118" s="26"/>
      <c r="AF118" s="27"/>
      <c r="AG118" s="26"/>
      <c r="AH118" s="28"/>
      <c r="AI118" s="28"/>
      <c r="AJ118" s="28"/>
      <c r="AK118" s="28"/>
      <c r="AL118" s="28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5"/>
    </row>
    <row r="119" spans="1:57">
      <c r="A119" s="285" t="s">
        <v>55</v>
      </c>
      <c r="B119" s="284" t="s">
        <v>668</v>
      </c>
      <c r="C119" s="24">
        <f t="shared" si="58"/>
        <v>1</v>
      </c>
      <c r="D119" s="24"/>
      <c r="E119" s="24">
        <v>1</v>
      </c>
      <c r="F119" s="24"/>
      <c r="G119" s="24"/>
      <c r="H119" s="24"/>
      <c r="I119" s="24"/>
      <c r="J119" s="24"/>
      <c r="K119" s="24"/>
      <c r="L119" s="24"/>
      <c r="M119" s="24"/>
      <c r="N119" s="24"/>
      <c r="O119" s="24">
        <f t="shared" si="60"/>
        <v>1</v>
      </c>
      <c r="P119" s="24"/>
      <c r="Q119" s="24">
        <v>1</v>
      </c>
      <c r="R119" s="24"/>
      <c r="S119" s="24"/>
      <c r="T119" s="24"/>
      <c r="U119" s="24"/>
      <c r="V119" s="24"/>
      <c r="W119" s="24"/>
      <c r="X119" s="24"/>
      <c r="Y119" s="24"/>
      <c r="Z119" s="24"/>
      <c r="AA119" s="25">
        <v>11955</v>
      </c>
      <c r="AB119" s="12"/>
      <c r="AC119" s="13">
        <f t="shared" si="52"/>
        <v>11955</v>
      </c>
      <c r="AD119" s="13">
        <f>AC119*5%</f>
        <v>597.75</v>
      </c>
      <c r="AE119" s="26"/>
      <c r="AF119" s="27"/>
      <c r="AG119" s="26"/>
      <c r="AH119" s="28"/>
      <c r="AI119" s="28"/>
      <c r="AJ119" s="28"/>
      <c r="AK119" s="28"/>
      <c r="AL119" s="28"/>
      <c r="AM119" s="11"/>
      <c r="AN119" s="11"/>
      <c r="AO119" s="11"/>
      <c r="AP119" s="11">
        <f t="shared" si="63"/>
        <v>12552.75</v>
      </c>
      <c r="AQ119" s="11">
        <f t="shared" si="64"/>
        <v>2147.5</v>
      </c>
      <c r="AR119" s="11">
        <f t="shared" si="53"/>
        <v>14700.25</v>
      </c>
      <c r="AS119" s="11"/>
      <c r="AT119" s="11"/>
      <c r="AU119" s="11"/>
      <c r="AV119" s="11"/>
      <c r="AW119" s="11"/>
      <c r="AX119" s="11"/>
      <c r="AY119" s="11">
        <f t="shared" si="50"/>
        <v>14700.25</v>
      </c>
      <c r="AZ119" s="11"/>
      <c r="BA119" s="11">
        <f t="shared" si="65"/>
        <v>14700.25</v>
      </c>
      <c r="BB119" s="11">
        <f t="shared" si="66"/>
        <v>12801.75</v>
      </c>
      <c r="BC119" s="11">
        <f t="shared" si="67"/>
        <v>41253</v>
      </c>
      <c r="BD119" s="11">
        <f t="shared" si="68"/>
        <v>495036</v>
      </c>
      <c r="BE119" s="5" t="s">
        <v>86</v>
      </c>
    </row>
    <row r="120" spans="1:57">
      <c r="A120" s="285" t="s">
        <v>55</v>
      </c>
      <c r="B120" s="284" t="s">
        <v>669</v>
      </c>
      <c r="C120" s="24">
        <f t="shared" si="58"/>
        <v>0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>
        <f t="shared" si="60"/>
        <v>1</v>
      </c>
      <c r="P120" s="24"/>
      <c r="Q120" s="24">
        <v>1</v>
      </c>
      <c r="R120" s="24"/>
      <c r="S120" s="24"/>
      <c r="T120" s="24"/>
      <c r="U120" s="24"/>
      <c r="V120" s="24"/>
      <c r="W120" s="24"/>
      <c r="X120" s="24"/>
      <c r="Y120" s="24"/>
      <c r="Z120" s="24"/>
      <c r="AA120" s="25">
        <v>14348</v>
      </c>
      <c r="AB120" s="12"/>
      <c r="AC120" s="13">
        <f t="shared" si="52"/>
        <v>14348</v>
      </c>
      <c r="AD120" s="13"/>
      <c r="AE120" s="26"/>
      <c r="AF120" s="27"/>
      <c r="AG120" s="26"/>
      <c r="AH120" s="28"/>
      <c r="AI120" s="28"/>
      <c r="AJ120" s="28"/>
      <c r="AK120" s="28"/>
      <c r="AL120" s="28"/>
      <c r="AM120" s="11"/>
      <c r="AN120" s="11"/>
      <c r="AO120" s="11"/>
      <c r="AP120" s="11">
        <f t="shared" si="63"/>
        <v>14348</v>
      </c>
      <c r="AQ120" s="11">
        <f t="shared" si="64"/>
        <v>352.25</v>
      </c>
      <c r="AR120" s="11">
        <f t="shared" si="53"/>
        <v>14700.25</v>
      </c>
      <c r="AS120" s="11"/>
      <c r="AT120" s="11"/>
      <c r="AU120" s="11"/>
      <c r="AV120" s="11"/>
      <c r="AW120" s="11"/>
      <c r="AX120" s="11"/>
      <c r="AY120" s="11">
        <f t="shared" si="50"/>
        <v>14700.25</v>
      </c>
      <c r="AZ120" s="11"/>
      <c r="BA120" s="11">
        <f t="shared" si="65"/>
        <v>14700.25</v>
      </c>
      <c r="BB120" s="11">
        <f t="shared" si="66"/>
        <v>12801.75</v>
      </c>
      <c r="BC120" s="11">
        <f t="shared" si="67"/>
        <v>41253</v>
      </c>
      <c r="BD120" s="11">
        <f t="shared" si="68"/>
        <v>0</v>
      </c>
      <c r="BE120" s="5" t="s">
        <v>86</v>
      </c>
    </row>
    <row r="121" spans="1:57">
      <c r="A121" s="285" t="s">
        <v>55</v>
      </c>
      <c r="B121" s="284" t="s">
        <v>670</v>
      </c>
      <c r="C121" s="24">
        <f t="shared" si="58"/>
        <v>1</v>
      </c>
      <c r="D121" s="24"/>
      <c r="E121" s="24">
        <v>1</v>
      </c>
      <c r="F121" s="24"/>
      <c r="G121" s="24"/>
      <c r="H121" s="24"/>
      <c r="I121" s="24"/>
      <c r="J121" s="24"/>
      <c r="K121" s="24"/>
      <c r="L121" s="24"/>
      <c r="M121" s="24"/>
      <c r="N121" s="24"/>
      <c r="O121" s="24">
        <f t="shared" si="60"/>
        <v>1</v>
      </c>
      <c r="P121" s="24"/>
      <c r="Q121" s="24">
        <v>1</v>
      </c>
      <c r="R121" s="24"/>
      <c r="S121" s="24"/>
      <c r="T121" s="24"/>
      <c r="U121" s="24"/>
      <c r="V121" s="24"/>
      <c r="W121" s="24"/>
      <c r="X121" s="24"/>
      <c r="Y121" s="24"/>
      <c r="Z121" s="24"/>
      <c r="AA121" s="25">
        <v>10289</v>
      </c>
      <c r="AB121" s="12"/>
      <c r="AC121" s="13">
        <f t="shared" si="52"/>
        <v>10289</v>
      </c>
      <c r="AD121" s="13"/>
      <c r="AE121" s="26"/>
      <c r="AF121" s="27"/>
      <c r="AG121" s="26"/>
      <c r="AH121" s="28"/>
      <c r="AI121" s="28"/>
      <c r="AJ121" s="28"/>
      <c r="AK121" s="28"/>
      <c r="AL121" s="28"/>
      <c r="AM121" s="11"/>
      <c r="AN121" s="11"/>
      <c r="AO121" s="11"/>
      <c r="AP121" s="11">
        <f t="shared" si="63"/>
        <v>10289</v>
      </c>
      <c r="AQ121" s="11">
        <f t="shared" si="64"/>
        <v>4411.25</v>
      </c>
      <c r="AR121" s="11">
        <f t="shared" si="53"/>
        <v>14700.25</v>
      </c>
      <c r="AS121" s="11"/>
      <c r="AT121" s="11"/>
      <c r="AU121" s="11"/>
      <c r="AV121" s="11"/>
      <c r="AW121" s="11"/>
      <c r="AX121" s="11"/>
      <c r="AY121" s="11">
        <f t="shared" si="50"/>
        <v>14700.25</v>
      </c>
      <c r="AZ121" s="11"/>
      <c r="BA121" s="11">
        <f t="shared" si="65"/>
        <v>14700.25</v>
      </c>
      <c r="BB121" s="11">
        <f t="shared" si="66"/>
        <v>12801.75</v>
      </c>
      <c r="BC121" s="11">
        <f t="shared" si="67"/>
        <v>41253</v>
      </c>
      <c r="BD121" s="11">
        <f t="shared" si="68"/>
        <v>495036</v>
      </c>
      <c r="BE121" s="5" t="s">
        <v>86</v>
      </c>
    </row>
    <row r="122" spans="1:57">
      <c r="A122" s="285" t="s">
        <v>55</v>
      </c>
      <c r="B122" s="284" t="s">
        <v>670</v>
      </c>
      <c r="C122" s="24">
        <f t="shared" si="58"/>
        <v>0.5</v>
      </c>
      <c r="D122" s="24"/>
      <c r="E122" s="24">
        <v>0.5</v>
      </c>
      <c r="F122" s="24"/>
      <c r="G122" s="24"/>
      <c r="H122" s="24"/>
      <c r="I122" s="24"/>
      <c r="J122" s="24"/>
      <c r="K122" s="24"/>
      <c r="L122" s="24"/>
      <c r="M122" s="24"/>
      <c r="N122" s="24"/>
      <c r="O122" s="24">
        <f t="shared" si="60"/>
        <v>0.5</v>
      </c>
      <c r="P122" s="24"/>
      <c r="Q122" s="24">
        <v>0.5</v>
      </c>
      <c r="R122" s="24"/>
      <c r="S122" s="24"/>
      <c r="T122" s="24"/>
      <c r="U122" s="24"/>
      <c r="V122" s="24"/>
      <c r="W122" s="24"/>
      <c r="X122" s="24"/>
      <c r="Y122" s="24"/>
      <c r="Z122" s="24"/>
      <c r="AA122" s="25">
        <v>10289</v>
      </c>
      <c r="AB122" s="12"/>
      <c r="AC122" s="13">
        <f t="shared" si="52"/>
        <v>10289</v>
      </c>
      <c r="AD122" s="13"/>
      <c r="AE122" s="26"/>
      <c r="AF122" s="27"/>
      <c r="AG122" s="26"/>
      <c r="AH122" s="28"/>
      <c r="AI122" s="28"/>
      <c r="AJ122" s="28"/>
      <c r="AK122" s="28"/>
      <c r="AL122" s="28"/>
      <c r="AM122" s="11"/>
      <c r="AN122" s="11"/>
      <c r="AO122" s="11"/>
      <c r="AP122" s="11">
        <f t="shared" si="63"/>
        <v>10289</v>
      </c>
      <c r="AQ122" s="11">
        <f t="shared" si="64"/>
        <v>4411.25</v>
      </c>
      <c r="AR122" s="11">
        <f t="shared" si="53"/>
        <v>14700.25</v>
      </c>
      <c r="AS122" s="11"/>
      <c r="AT122" s="11"/>
      <c r="AU122" s="11"/>
      <c r="AV122" s="11"/>
      <c r="AW122" s="11"/>
      <c r="AX122" s="11"/>
      <c r="AY122" s="11">
        <f t="shared" si="50"/>
        <v>14700.25</v>
      </c>
      <c r="AZ122" s="11"/>
      <c r="BA122" s="11">
        <f t="shared" si="65"/>
        <v>14700.25</v>
      </c>
      <c r="BB122" s="11">
        <f t="shared" si="66"/>
        <v>12801.75</v>
      </c>
      <c r="BC122" s="11">
        <f t="shared" si="67"/>
        <v>41253</v>
      </c>
      <c r="BD122" s="11">
        <f t="shared" si="68"/>
        <v>247518</v>
      </c>
      <c r="BE122" s="5" t="s">
        <v>86</v>
      </c>
    </row>
    <row r="123" spans="1:57">
      <c r="A123" s="285"/>
      <c r="B123" s="283" t="s">
        <v>671</v>
      </c>
      <c r="C123" s="24">
        <f t="shared" si="58"/>
        <v>0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>
        <f t="shared" si="60"/>
        <v>0</v>
      </c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5"/>
      <c r="AB123" s="12"/>
      <c r="AC123" s="13">
        <f t="shared" si="52"/>
        <v>0</v>
      </c>
      <c r="AD123" s="13"/>
      <c r="AE123" s="26"/>
      <c r="AF123" s="27"/>
      <c r="AG123" s="26"/>
      <c r="AH123" s="28"/>
      <c r="AI123" s="28"/>
      <c r="AJ123" s="28"/>
      <c r="AK123" s="28"/>
      <c r="AL123" s="28"/>
      <c r="AM123" s="11"/>
      <c r="AN123" s="11"/>
      <c r="AO123" s="11"/>
      <c r="AP123" s="11">
        <f t="shared" si="63"/>
        <v>0</v>
      </c>
      <c r="AQ123" s="11">
        <f t="shared" si="64"/>
        <v>14700.25</v>
      </c>
      <c r="AR123" s="11">
        <f t="shared" si="53"/>
        <v>14700.25</v>
      </c>
      <c r="AS123" s="11"/>
      <c r="AT123" s="11"/>
      <c r="AU123" s="11"/>
      <c r="AV123" s="11"/>
      <c r="AW123" s="11"/>
      <c r="AX123" s="11"/>
      <c r="AY123" s="11">
        <f t="shared" si="50"/>
        <v>14700.25</v>
      </c>
      <c r="AZ123" s="11"/>
      <c r="BA123" s="11">
        <f t="shared" si="65"/>
        <v>14700.25</v>
      </c>
      <c r="BB123" s="11">
        <f t="shared" si="66"/>
        <v>0</v>
      </c>
      <c r="BC123" s="11">
        <f t="shared" si="67"/>
        <v>22050.375</v>
      </c>
      <c r="BD123" s="11">
        <f t="shared" si="68"/>
        <v>0</v>
      </c>
      <c r="BE123" s="5" t="s">
        <v>86</v>
      </c>
    </row>
    <row r="124" spans="1:57">
      <c r="A124" s="285" t="s">
        <v>55</v>
      </c>
      <c r="B124" s="287" t="s">
        <v>669</v>
      </c>
      <c r="C124" s="24">
        <f t="shared" si="58"/>
        <v>0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>
        <f t="shared" si="60"/>
        <v>1</v>
      </c>
      <c r="P124" s="24"/>
      <c r="Q124" s="24">
        <v>1</v>
      </c>
      <c r="R124" s="31"/>
      <c r="S124" s="31"/>
      <c r="T124" s="31"/>
      <c r="U124" s="31"/>
      <c r="V124" s="31"/>
      <c r="W124" s="31"/>
      <c r="X124" s="31"/>
      <c r="Y124" s="31"/>
      <c r="Z124" s="31"/>
      <c r="AA124" s="26">
        <v>14348</v>
      </c>
      <c r="AB124" s="13"/>
      <c r="AC124" s="13">
        <f t="shared" si="52"/>
        <v>14348</v>
      </c>
      <c r="AD124" s="13"/>
      <c r="AE124" s="13"/>
      <c r="AF124" s="30"/>
      <c r="AG124" s="13"/>
      <c r="AH124" s="13"/>
      <c r="AI124" s="13"/>
      <c r="AJ124" s="13"/>
      <c r="AK124" s="13"/>
      <c r="AL124" s="13"/>
      <c r="AM124" s="13"/>
      <c r="AN124" s="13"/>
      <c r="AO124" s="13"/>
      <c r="AP124" s="11">
        <f t="shared" si="63"/>
        <v>14348</v>
      </c>
      <c r="AQ124" s="11">
        <f t="shared" si="64"/>
        <v>352.25</v>
      </c>
      <c r="AR124" s="11">
        <f t="shared" si="53"/>
        <v>14700.25</v>
      </c>
      <c r="AS124" s="13"/>
      <c r="AT124" s="13"/>
      <c r="AU124" s="13"/>
      <c r="AV124" s="13"/>
      <c r="AW124" s="13"/>
      <c r="AX124" s="13"/>
      <c r="AY124" s="11">
        <f t="shared" si="50"/>
        <v>14700.25</v>
      </c>
      <c r="AZ124" s="13"/>
      <c r="BA124" s="11">
        <f t="shared" si="65"/>
        <v>14700.25</v>
      </c>
      <c r="BB124" s="11">
        <f t="shared" si="66"/>
        <v>12801.75</v>
      </c>
      <c r="BC124" s="11">
        <f t="shared" si="67"/>
        <v>41253</v>
      </c>
      <c r="BD124" s="11">
        <f t="shared" si="68"/>
        <v>0</v>
      </c>
      <c r="BE124" s="8" t="s">
        <v>86</v>
      </c>
    </row>
    <row r="125" spans="1:57">
      <c r="A125" s="285" t="s">
        <v>62</v>
      </c>
      <c r="B125" s="284" t="s">
        <v>659</v>
      </c>
      <c r="C125" s="24">
        <f t="shared" si="58"/>
        <v>1</v>
      </c>
      <c r="D125" s="24"/>
      <c r="E125" s="24">
        <v>1</v>
      </c>
      <c r="F125" s="24"/>
      <c r="G125" s="24"/>
      <c r="H125" s="24"/>
      <c r="I125" s="24"/>
      <c r="J125" s="24"/>
      <c r="K125" s="24"/>
      <c r="L125" s="24"/>
      <c r="M125" s="24"/>
      <c r="N125" s="24"/>
      <c r="O125" s="24">
        <f t="shared" si="60"/>
        <v>1</v>
      </c>
      <c r="P125" s="24"/>
      <c r="Q125" s="24">
        <v>1</v>
      </c>
      <c r="R125" s="31"/>
      <c r="S125" s="31"/>
      <c r="T125" s="31"/>
      <c r="U125" s="31"/>
      <c r="V125" s="31"/>
      <c r="W125" s="31"/>
      <c r="X125" s="31"/>
      <c r="Y125" s="31"/>
      <c r="Z125" s="31"/>
      <c r="AA125" s="26">
        <v>8729</v>
      </c>
      <c r="AB125" s="13"/>
      <c r="AC125" s="13">
        <f t="shared" si="52"/>
        <v>8729</v>
      </c>
      <c r="AD125" s="13"/>
      <c r="AE125" s="13"/>
      <c r="AF125" s="30"/>
      <c r="AG125" s="13"/>
      <c r="AH125" s="13"/>
      <c r="AI125" s="13"/>
      <c r="AJ125" s="13"/>
      <c r="AK125" s="13"/>
      <c r="AL125" s="13"/>
      <c r="AM125" s="13"/>
      <c r="AN125" s="13"/>
      <c r="AO125" s="13"/>
      <c r="AP125" s="11">
        <f t="shared" si="63"/>
        <v>8729</v>
      </c>
      <c r="AQ125" s="11">
        <f t="shared" si="64"/>
        <v>5971.25</v>
      </c>
      <c r="AR125" s="11">
        <f t="shared" si="53"/>
        <v>14700.25</v>
      </c>
      <c r="AS125" s="13"/>
      <c r="AT125" s="13"/>
      <c r="AU125" s="13"/>
      <c r="AV125" s="13"/>
      <c r="AW125" s="13"/>
      <c r="AX125" s="13"/>
      <c r="AY125" s="11">
        <f t="shared" si="50"/>
        <v>14700.25</v>
      </c>
      <c r="AZ125" s="13"/>
      <c r="BA125" s="11">
        <f t="shared" si="65"/>
        <v>14700.25</v>
      </c>
      <c r="BB125" s="11">
        <f t="shared" si="66"/>
        <v>8107.75</v>
      </c>
      <c r="BC125" s="11">
        <f t="shared" si="67"/>
        <v>34212</v>
      </c>
      <c r="BD125" s="11">
        <f t="shared" si="68"/>
        <v>410544</v>
      </c>
      <c r="BE125" s="8" t="s">
        <v>86</v>
      </c>
    </row>
    <row r="126" spans="1:57">
      <c r="A126" s="285" t="s">
        <v>62</v>
      </c>
      <c r="B126" s="284" t="s">
        <v>659</v>
      </c>
      <c r="C126" s="24">
        <f t="shared" si="58"/>
        <v>1</v>
      </c>
      <c r="D126" s="24"/>
      <c r="E126" s="24">
        <v>1</v>
      </c>
      <c r="F126" s="24"/>
      <c r="G126" s="24"/>
      <c r="H126" s="24"/>
      <c r="I126" s="24"/>
      <c r="J126" s="24"/>
      <c r="K126" s="24"/>
      <c r="L126" s="24"/>
      <c r="M126" s="24"/>
      <c r="N126" s="24"/>
      <c r="O126" s="24">
        <f t="shared" si="60"/>
        <v>1</v>
      </c>
      <c r="P126" s="24"/>
      <c r="Q126" s="24">
        <v>1</v>
      </c>
      <c r="R126" s="31"/>
      <c r="S126" s="31"/>
      <c r="T126" s="31"/>
      <c r="U126" s="31"/>
      <c r="V126" s="31"/>
      <c r="W126" s="31"/>
      <c r="X126" s="31"/>
      <c r="Y126" s="31"/>
      <c r="Z126" s="31"/>
      <c r="AA126" s="26">
        <v>8729</v>
      </c>
      <c r="AB126" s="13"/>
      <c r="AC126" s="13">
        <f t="shared" si="52"/>
        <v>8729</v>
      </c>
      <c r="AD126" s="13"/>
      <c r="AE126" s="13"/>
      <c r="AF126" s="30"/>
      <c r="AG126" s="13"/>
      <c r="AH126" s="13"/>
      <c r="AI126" s="13"/>
      <c r="AJ126" s="13"/>
      <c r="AK126" s="13"/>
      <c r="AL126" s="13"/>
      <c r="AM126" s="13"/>
      <c r="AN126" s="13"/>
      <c r="AO126" s="13"/>
      <c r="AP126" s="11">
        <f t="shared" si="63"/>
        <v>8729</v>
      </c>
      <c r="AQ126" s="11">
        <f t="shared" si="64"/>
        <v>5971.25</v>
      </c>
      <c r="AR126" s="11">
        <f t="shared" si="53"/>
        <v>14700.25</v>
      </c>
      <c r="AS126" s="13"/>
      <c r="AT126" s="13"/>
      <c r="AU126" s="13"/>
      <c r="AV126" s="13"/>
      <c r="AW126" s="13"/>
      <c r="AX126" s="13"/>
      <c r="AY126" s="11">
        <f t="shared" si="50"/>
        <v>14700.25</v>
      </c>
      <c r="AZ126" s="13"/>
      <c r="BA126" s="11">
        <f t="shared" si="65"/>
        <v>14700.25</v>
      </c>
      <c r="BB126" s="11">
        <f t="shared" si="66"/>
        <v>8107.75</v>
      </c>
      <c r="BC126" s="11">
        <f t="shared" si="67"/>
        <v>34212</v>
      </c>
      <c r="BD126" s="11">
        <f t="shared" si="68"/>
        <v>410544</v>
      </c>
      <c r="BE126" s="8" t="s">
        <v>86</v>
      </c>
    </row>
    <row r="127" spans="1:57">
      <c r="A127" s="285"/>
      <c r="B127" s="283" t="s">
        <v>672</v>
      </c>
      <c r="C127" s="24">
        <f t="shared" si="58"/>
        <v>0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>
        <f t="shared" si="60"/>
        <v>0</v>
      </c>
      <c r="P127" s="24"/>
      <c r="Q127" s="24"/>
      <c r="R127" s="31"/>
      <c r="S127" s="31"/>
      <c r="T127" s="31"/>
      <c r="U127" s="31"/>
      <c r="V127" s="31"/>
      <c r="W127" s="31"/>
      <c r="X127" s="31"/>
      <c r="Y127" s="31"/>
      <c r="Z127" s="31"/>
      <c r="AA127" s="26"/>
      <c r="AB127" s="13"/>
      <c r="AC127" s="13">
        <f t="shared" si="52"/>
        <v>0</v>
      </c>
      <c r="AD127" s="13"/>
      <c r="AE127" s="13"/>
      <c r="AF127" s="30"/>
      <c r="AG127" s="13"/>
      <c r="AH127" s="13"/>
      <c r="AI127" s="13"/>
      <c r="AJ127" s="13"/>
      <c r="AK127" s="13"/>
      <c r="AL127" s="13"/>
      <c r="AM127" s="13"/>
      <c r="AN127" s="13"/>
      <c r="AO127" s="13"/>
      <c r="AP127" s="11">
        <f t="shared" si="63"/>
        <v>0</v>
      </c>
      <c r="AQ127" s="11">
        <f t="shared" si="64"/>
        <v>14700.25</v>
      </c>
      <c r="AR127" s="11">
        <f t="shared" si="53"/>
        <v>14700.25</v>
      </c>
      <c r="AS127" s="13"/>
      <c r="AT127" s="13"/>
      <c r="AU127" s="13"/>
      <c r="AV127" s="13"/>
      <c r="AW127" s="13"/>
      <c r="AX127" s="13"/>
      <c r="AY127" s="11">
        <f t="shared" si="50"/>
        <v>14700.25</v>
      </c>
      <c r="AZ127" s="13"/>
      <c r="BA127" s="11">
        <f t="shared" si="65"/>
        <v>14700.25</v>
      </c>
      <c r="BB127" s="11">
        <f t="shared" si="66"/>
        <v>0</v>
      </c>
      <c r="BC127" s="11">
        <f t="shared" si="67"/>
        <v>22050.375</v>
      </c>
      <c r="BD127" s="11">
        <f t="shared" si="68"/>
        <v>0</v>
      </c>
      <c r="BE127" s="8" t="s">
        <v>86</v>
      </c>
    </row>
    <row r="128" spans="1:57" ht="27.6" customHeight="1">
      <c r="A128" s="285" t="s">
        <v>55</v>
      </c>
      <c r="B128" s="287" t="s">
        <v>673</v>
      </c>
      <c r="C128" s="24">
        <f t="shared" si="58"/>
        <v>1</v>
      </c>
      <c r="D128" s="24">
        <v>1</v>
      </c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>
        <f t="shared" si="60"/>
        <v>1</v>
      </c>
      <c r="P128" s="24">
        <v>1</v>
      </c>
      <c r="Q128" s="24"/>
      <c r="R128" s="31"/>
      <c r="S128" s="31"/>
      <c r="T128" s="31"/>
      <c r="U128" s="31"/>
      <c r="V128" s="31"/>
      <c r="W128" s="31"/>
      <c r="X128" s="31"/>
      <c r="Y128" s="31"/>
      <c r="Z128" s="31"/>
      <c r="AA128" s="26">
        <v>10566</v>
      </c>
      <c r="AB128" s="13"/>
      <c r="AC128" s="13">
        <f t="shared" si="52"/>
        <v>10566</v>
      </c>
      <c r="AD128" s="13"/>
      <c r="AE128" s="13"/>
      <c r="AF128" s="30"/>
      <c r="AG128" s="13"/>
      <c r="AH128" s="13"/>
      <c r="AI128" s="13"/>
      <c r="AJ128" s="13"/>
      <c r="AK128" s="13"/>
      <c r="AL128" s="13"/>
      <c r="AM128" s="13"/>
      <c r="AN128" s="13"/>
      <c r="AO128" s="13"/>
      <c r="AP128" s="11">
        <f t="shared" si="63"/>
        <v>10566</v>
      </c>
      <c r="AQ128" s="11">
        <f t="shared" si="64"/>
        <v>4134.25</v>
      </c>
      <c r="AR128" s="11">
        <f t="shared" si="53"/>
        <v>14700.25</v>
      </c>
      <c r="AS128" s="13"/>
      <c r="AT128" s="13"/>
      <c r="AU128" s="13"/>
      <c r="AV128" s="13"/>
      <c r="AW128" s="13"/>
      <c r="AX128" s="13"/>
      <c r="AY128" s="11">
        <f t="shared" si="50"/>
        <v>14700.25</v>
      </c>
      <c r="AZ128" s="13"/>
      <c r="BA128" s="11">
        <f t="shared" si="65"/>
        <v>14700.25</v>
      </c>
      <c r="BB128" s="11">
        <f t="shared" si="66"/>
        <v>12801.75</v>
      </c>
      <c r="BC128" s="11">
        <f t="shared" si="67"/>
        <v>41253</v>
      </c>
      <c r="BD128" s="11">
        <f t="shared" si="68"/>
        <v>495036</v>
      </c>
      <c r="BE128" s="8" t="s">
        <v>86</v>
      </c>
    </row>
    <row r="129" spans="1:57">
      <c r="A129" s="285" t="s">
        <v>55</v>
      </c>
      <c r="B129" s="284" t="s">
        <v>674</v>
      </c>
      <c r="C129" s="24">
        <f t="shared" si="58"/>
        <v>1</v>
      </c>
      <c r="D129" s="24">
        <v>1</v>
      </c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>
        <f t="shared" si="60"/>
        <v>1</v>
      </c>
      <c r="P129" s="24">
        <v>1</v>
      </c>
      <c r="Q129" s="24"/>
      <c r="R129" s="32"/>
      <c r="S129" s="32"/>
      <c r="T129" s="32"/>
      <c r="U129" s="32"/>
      <c r="V129" s="32"/>
      <c r="W129" s="32"/>
      <c r="X129" s="32"/>
      <c r="Y129" s="32"/>
      <c r="Z129" s="32"/>
      <c r="AA129" s="13">
        <v>8729</v>
      </c>
      <c r="AB129" s="33"/>
      <c r="AC129" s="13">
        <f t="shared" si="52"/>
        <v>8729</v>
      </c>
      <c r="AD129" s="26"/>
      <c r="AE129" s="26"/>
      <c r="AF129" s="27">
        <f>AC129*15%</f>
        <v>1309.3499999999999</v>
      </c>
      <c r="AG129" s="26"/>
      <c r="AH129" s="28"/>
      <c r="AI129" s="28"/>
      <c r="AJ129" s="28"/>
      <c r="AK129" s="28"/>
      <c r="AL129" s="28"/>
      <c r="AM129" s="11"/>
      <c r="AN129" s="11"/>
      <c r="AO129" s="11"/>
      <c r="AP129" s="11">
        <f t="shared" si="63"/>
        <v>10038.35</v>
      </c>
      <c r="AQ129" s="11">
        <f t="shared" si="64"/>
        <v>4661.8999999999996</v>
      </c>
      <c r="AR129" s="11">
        <f t="shared" si="53"/>
        <v>14700.25</v>
      </c>
      <c r="AS129" s="13"/>
      <c r="AT129" s="13"/>
      <c r="AU129" s="11"/>
      <c r="AV129" s="11"/>
      <c r="AW129" s="11"/>
      <c r="AX129" s="11"/>
      <c r="AY129" s="11">
        <f t="shared" si="50"/>
        <v>14700.25</v>
      </c>
      <c r="AZ129" s="11"/>
      <c r="BA129" s="11">
        <f t="shared" si="65"/>
        <v>14700.25</v>
      </c>
      <c r="BB129" s="11">
        <f t="shared" si="66"/>
        <v>12801.75</v>
      </c>
      <c r="BC129" s="11">
        <f t="shared" si="67"/>
        <v>41253</v>
      </c>
      <c r="BD129" s="11">
        <f t="shared" si="68"/>
        <v>495036</v>
      </c>
      <c r="BE129" s="8" t="s">
        <v>86</v>
      </c>
    </row>
    <row r="130" spans="1:57">
      <c r="A130" s="285"/>
      <c r="B130" s="283" t="s">
        <v>675</v>
      </c>
      <c r="C130" s="24">
        <f t="shared" ref="C130:C149" si="70">SUM(D130:N130)</f>
        <v>0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>
        <f t="shared" si="60"/>
        <v>0</v>
      </c>
      <c r="P130" s="24"/>
      <c r="Q130" s="24"/>
      <c r="R130" s="29"/>
      <c r="S130" s="29"/>
      <c r="T130" s="29"/>
      <c r="U130" s="29"/>
      <c r="V130" s="29"/>
      <c r="W130" s="29"/>
      <c r="X130" s="29"/>
      <c r="Y130" s="29"/>
      <c r="Z130" s="29"/>
      <c r="AA130" s="13"/>
      <c r="AB130" s="12"/>
      <c r="AC130" s="13">
        <f t="shared" si="52"/>
        <v>0</v>
      </c>
      <c r="AD130" s="26"/>
      <c r="AE130" s="26"/>
      <c r="AF130" s="27"/>
      <c r="AG130" s="26"/>
      <c r="AH130" s="28"/>
      <c r="AI130" s="28"/>
      <c r="AJ130" s="28"/>
      <c r="AK130" s="28"/>
      <c r="AL130" s="28"/>
      <c r="AM130" s="11"/>
      <c r="AN130" s="11"/>
      <c r="AO130" s="11"/>
      <c r="AP130" s="11">
        <f t="shared" si="63"/>
        <v>0</v>
      </c>
      <c r="AQ130" s="11">
        <f t="shared" si="64"/>
        <v>14700.25</v>
      </c>
      <c r="AR130" s="11">
        <f t="shared" si="53"/>
        <v>14700.25</v>
      </c>
      <c r="AS130" s="13"/>
      <c r="AT130" s="13"/>
      <c r="AU130" s="11"/>
      <c r="AV130" s="11"/>
      <c r="AW130" s="11"/>
      <c r="AX130" s="11"/>
      <c r="AY130" s="11">
        <f t="shared" si="50"/>
        <v>14700.25</v>
      </c>
      <c r="AZ130" s="11"/>
      <c r="BA130" s="11">
        <f t="shared" si="65"/>
        <v>14700.25</v>
      </c>
      <c r="BB130" s="11">
        <f t="shared" si="66"/>
        <v>0</v>
      </c>
      <c r="BC130" s="11">
        <f t="shared" si="67"/>
        <v>22050.375</v>
      </c>
      <c r="BD130" s="11">
        <f t="shared" si="68"/>
        <v>0</v>
      </c>
      <c r="BE130" s="8" t="s">
        <v>86</v>
      </c>
    </row>
    <row r="131" spans="1:57" ht="25.8" customHeight="1">
      <c r="A131" s="285" t="s">
        <v>55</v>
      </c>
      <c r="B131" s="290" t="s">
        <v>676</v>
      </c>
      <c r="C131" s="24">
        <f t="shared" si="70"/>
        <v>1</v>
      </c>
      <c r="D131" s="24">
        <v>1</v>
      </c>
      <c r="E131" s="22"/>
      <c r="F131" s="24"/>
      <c r="G131" s="24"/>
      <c r="H131" s="24"/>
      <c r="I131" s="24"/>
      <c r="J131" s="24"/>
      <c r="K131" s="24"/>
      <c r="L131" s="24"/>
      <c r="M131" s="24"/>
      <c r="N131" s="24"/>
      <c r="O131" s="24">
        <f t="shared" si="60"/>
        <v>1</v>
      </c>
      <c r="P131" s="24">
        <v>1</v>
      </c>
      <c r="Q131" s="22"/>
      <c r="R131" s="29"/>
      <c r="S131" s="29"/>
      <c r="T131" s="29"/>
      <c r="U131" s="29"/>
      <c r="V131" s="29"/>
      <c r="W131" s="29"/>
      <c r="X131" s="29"/>
      <c r="Y131" s="29"/>
      <c r="Z131" s="29"/>
      <c r="AA131" s="13">
        <v>11121</v>
      </c>
      <c r="AB131" s="12"/>
      <c r="AC131" s="13">
        <f t="shared" si="52"/>
        <v>11121</v>
      </c>
      <c r="AD131" s="26">
        <f>AC131*5%</f>
        <v>556.05000000000007</v>
      </c>
      <c r="AE131" s="26"/>
      <c r="AF131" s="27"/>
      <c r="AG131" s="26"/>
      <c r="AH131" s="28"/>
      <c r="AI131" s="28"/>
      <c r="AJ131" s="28"/>
      <c r="AK131" s="28"/>
      <c r="AL131" s="28"/>
      <c r="AM131" s="11"/>
      <c r="AN131" s="11"/>
      <c r="AO131" s="11"/>
      <c r="AP131" s="11">
        <f t="shared" si="63"/>
        <v>11677.05</v>
      </c>
      <c r="AQ131" s="11">
        <f t="shared" si="64"/>
        <v>3023.2000000000007</v>
      </c>
      <c r="AR131" s="11">
        <f t="shared" si="53"/>
        <v>14700.25</v>
      </c>
      <c r="AS131" s="13"/>
      <c r="AT131" s="13"/>
      <c r="AU131" s="11"/>
      <c r="AV131" s="11"/>
      <c r="AW131" s="11"/>
      <c r="AX131" s="11"/>
      <c r="AY131" s="11">
        <f t="shared" si="50"/>
        <v>14700.25</v>
      </c>
      <c r="AZ131" s="11"/>
      <c r="BA131" s="11">
        <f t="shared" si="65"/>
        <v>14700.25</v>
      </c>
      <c r="BB131" s="11">
        <f t="shared" si="66"/>
        <v>12801.75</v>
      </c>
      <c r="BC131" s="11">
        <f t="shared" si="67"/>
        <v>41253</v>
      </c>
      <c r="BD131" s="11">
        <f t="shared" si="68"/>
        <v>495036</v>
      </c>
      <c r="BE131" s="8" t="s">
        <v>86</v>
      </c>
    </row>
    <row r="132" spans="1:57" ht="25.8" customHeight="1">
      <c r="A132" s="285" t="s">
        <v>61</v>
      </c>
      <c r="B132" s="290" t="s">
        <v>677</v>
      </c>
      <c r="C132" s="24">
        <f t="shared" si="70"/>
        <v>1</v>
      </c>
      <c r="D132" s="24">
        <v>1</v>
      </c>
      <c r="E132" s="22"/>
      <c r="F132" s="24"/>
      <c r="G132" s="24"/>
      <c r="H132" s="24"/>
      <c r="I132" s="24"/>
      <c r="J132" s="24"/>
      <c r="K132" s="24"/>
      <c r="L132" s="24"/>
      <c r="M132" s="24"/>
      <c r="N132" s="24"/>
      <c r="O132" s="24">
        <f t="shared" si="60"/>
        <v>1</v>
      </c>
      <c r="P132" s="24">
        <v>1</v>
      </c>
      <c r="Q132" s="22"/>
      <c r="R132" s="29"/>
      <c r="S132" s="29"/>
      <c r="T132" s="29"/>
      <c r="U132" s="29"/>
      <c r="V132" s="29"/>
      <c r="W132" s="29"/>
      <c r="X132" s="29"/>
      <c r="Y132" s="29"/>
      <c r="Z132" s="29"/>
      <c r="AA132" s="13">
        <v>8953</v>
      </c>
      <c r="AB132" s="12"/>
      <c r="AC132" s="13">
        <f t="shared" si="52"/>
        <v>8953</v>
      </c>
      <c r="AD132" s="26"/>
      <c r="AE132" s="26"/>
      <c r="AF132" s="27"/>
      <c r="AG132" s="26"/>
      <c r="AH132" s="28"/>
      <c r="AI132" s="28"/>
      <c r="AJ132" s="28"/>
      <c r="AK132" s="28"/>
      <c r="AL132" s="28"/>
      <c r="AM132" s="11"/>
      <c r="AN132" s="11"/>
      <c r="AO132" s="11"/>
      <c r="AP132" s="11">
        <f t="shared" si="63"/>
        <v>8953</v>
      </c>
      <c r="AQ132" s="11">
        <f t="shared" si="64"/>
        <v>5747.25</v>
      </c>
      <c r="AR132" s="11">
        <f t="shared" si="53"/>
        <v>14700.25</v>
      </c>
      <c r="AS132" s="13"/>
      <c r="AT132" s="13"/>
      <c r="AU132" s="11"/>
      <c r="AV132" s="11"/>
      <c r="AW132" s="11"/>
      <c r="AX132" s="11"/>
      <c r="AY132" s="11">
        <f t="shared" si="50"/>
        <v>14700.25</v>
      </c>
      <c r="AZ132" s="11"/>
      <c r="BA132" s="11">
        <f t="shared" si="65"/>
        <v>14700.25</v>
      </c>
      <c r="BB132" s="11">
        <f t="shared" si="66"/>
        <v>6699.75</v>
      </c>
      <c r="BC132" s="11">
        <f t="shared" si="67"/>
        <v>32100</v>
      </c>
      <c r="BD132" s="11">
        <f t="shared" si="68"/>
        <v>385200</v>
      </c>
      <c r="BE132" s="8" t="s">
        <v>86</v>
      </c>
    </row>
    <row r="133" spans="1:57">
      <c r="A133" s="285" t="s">
        <v>61</v>
      </c>
      <c r="B133" s="290" t="s">
        <v>678</v>
      </c>
      <c r="C133" s="24">
        <f t="shared" si="70"/>
        <v>1</v>
      </c>
      <c r="D133" s="24">
        <v>1</v>
      </c>
      <c r="E133" s="291"/>
      <c r="F133" s="24"/>
      <c r="G133" s="24"/>
      <c r="H133" s="24"/>
      <c r="I133" s="24"/>
      <c r="J133" s="24"/>
      <c r="K133" s="24"/>
      <c r="L133" s="24"/>
      <c r="M133" s="24"/>
      <c r="N133" s="24"/>
      <c r="O133" s="24">
        <f t="shared" ref="O133:O166" si="71">SUM(P133:Z133)</f>
        <v>1</v>
      </c>
      <c r="P133" s="24">
        <v>1</v>
      </c>
      <c r="Q133" s="291"/>
      <c r="R133" s="29"/>
      <c r="S133" s="29"/>
      <c r="T133" s="29"/>
      <c r="U133" s="29"/>
      <c r="V133" s="29"/>
      <c r="W133" s="29"/>
      <c r="X133" s="29"/>
      <c r="Y133" s="29"/>
      <c r="Z133" s="29"/>
      <c r="AA133" s="13">
        <v>8953</v>
      </c>
      <c r="AB133" s="12"/>
      <c r="AC133" s="13">
        <f t="shared" si="52"/>
        <v>8953</v>
      </c>
      <c r="AD133" s="26">
        <f>AC133*5%</f>
        <v>447.65000000000003</v>
      </c>
      <c r="AE133" s="26"/>
      <c r="AF133" s="27"/>
      <c r="AG133" s="26"/>
      <c r="AH133" s="28"/>
      <c r="AI133" s="28"/>
      <c r="AJ133" s="28"/>
      <c r="AK133" s="28"/>
      <c r="AL133" s="28"/>
      <c r="AM133" s="11"/>
      <c r="AN133" s="11"/>
      <c r="AO133" s="11"/>
      <c r="AP133" s="11">
        <f t="shared" si="63"/>
        <v>9400.65</v>
      </c>
      <c r="AQ133" s="11">
        <f t="shared" si="64"/>
        <v>5299.6</v>
      </c>
      <c r="AR133" s="11">
        <f t="shared" si="53"/>
        <v>14700.25</v>
      </c>
      <c r="AS133" s="13"/>
      <c r="AT133" s="13"/>
      <c r="AU133" s="11"/>
      <c r="AV133" s="11"/>
      <c r="AW133" s="11"/>
      <c r="AX133" s="11"/>
      <c r="AY133" s="11">
        <f t="shared" si="50"/>
        <v>14700.25</v>
      </c>
      <c r="AZ133" s="11"/>
      <c r="BA133" s="11">
        <f t="shared" si="65"/>
        <v>14700.25</v>
      </c>
      <c r="BB133" s="11">
        <f t="shared" si="66"/>
        <v>6699.75</v>
      </c>
      <c r="BC133" s="11">
        <f t="shared" si="67"/>
        <v>32100</v>
      </c>
      <c r="BD133" s="11">
        <f t="shared" si="68"/>
        <v>385200</v>
      </c>
      <c r="BE133" s="8" t="s">
        <v>86</v>
      </c>
    </row>
    <row r="134" spans="1:57">
      <c r="A134" s="285" t="s">
        <v>59</v>
      </c>
      <c r="B134" s="290" t="s">
        <v>679</v>
      </c>
      <c r="C134" s="24">
        <f t="shared" si="70"/>
        <v>1</v>
      </c>
      <c r="D134" s="24">
        <v>1</v>
      </c>
      <c r="E134" s="32"/>
      <c r="F134" s="24"/>
      <c r="G134" s="24"/>
      <c r="H134" s="24"/>
      <c r="I134" s="24"/>
      <c r="J134" s="24"/>
      <c r="K134" s="24"/>
      <c r="L134" s="24"/>
      <c r="M134" s="24"/>
      <c r="N134" s="24"/>
      <c r="O134" s="24">
        <f t="shared" si="71"/>
        <v>1</v>
      </c>
      <c r="P134" s="24">
        <v>1</v>
      </c>
      <c r="Q134" s="32"/>
      <c r="R134" s="34"/>
      <c r="S134" s="34"/>
      <c r="T134" s="34"/>
      <c r="U134" s="34"/>
      <c r="V134" s="34"/>
      <c r="W134" s="34"/>
      <c r="X134" s="34"/>
      <c r="Y134" s="34"/>
      <c r="Z134" s="34"/>
      <c r="AA134" s="13">
        <v>8953</v>
      </c>
      <c r="AB134" s="13"/>
      <c r="AC134" s="13">
        <f t="shared" si="52"/>
        <v>8953</v>
      </c>
      <c r="AD134" s="13">
        <f>AC134*5%</f>
        <v>447.65000000000003</v>
      </c>
      <c r="AE134" s="13"/>
      <c r="AF134" s="30"/>
      <c r="AG134" s="13"/>
      <c r="AH134" s="13"/>
      <c r="AI134" s="13"/>
      <c r="AJ134" s="13"/>
      <c r="AK134" s="13"/>
      <c r="AL134" s="13"/>
      <c r="AM134" s="13"/>
      <c r="AN134" s="13"/>
      <c r="AO134" s="13"/>
      <c r="AP134" s="11">
        <f t="shared" si="63"/>
        <v>9400.65</v>
      </c>
      <c r="AQ134" s="11">
        <f t="shared" si="64"/>
        <v>5299.6</v>
      </c>
      <c r="AR134" s="11">
        <f t="shared" si="53"/>
        <v>14700.25</v>
      </c>
      <c r="AS134" s="414">
        <f>AC134/24*8*20%</f>
        <v>596.86666666666667</v>
      </c>
      <c r="AT134" s="414">
        <f>AC134*5%</f>
        <v>447.65000000000003</v>
      </c>
      <c r="AU134" s="417">
        <f>AC134*4%</f>
        <v>358.12</v>
      </c>
      <c r="AV134" s="13"/>
      <c r="AW134" s="13"/>
      <c r="AX134" s="13"/>
      <c r="AY134" s="11">
        <f t="shared" si="50"/>
        <v>16102.886666666667</v>
      </c>
      <c r="AZ134" s="13"/>
      <c r="BA134" s="11">
        <f t="shared" si="65"/>
        <v>16102.886666666667</v>
      </c>
      <c r="BB134" s="11">
        <f t="shared" si="66"/>
        <v>11630.446666666665</v>
      </c>
      <c r="BC134" s="11">
        <f t="shared" si="67"/>
        <v>41600</v>
      </c>
      <c r="BD134" s="11">
        <f t="shared" si="68"/>
        <v>499200</v>
      </c>
      <c r="BE134" s="8" t="s">
        <v>86</v>
      </c>
    </row>
    <row r="135" spans="1:57">
      <c r="A135" s="285" t="s">
        <v>59</v>
      </c>
      <c r="B135" s="290" t="s">
        <v>679</v>
      </c>
      <c r="C135" s="24">
        <f t="shared" si="70"/>
        <v>1</v>
      </c>
      <c r="D135" s="24">
        <v>1</v>
      </c>
      <c r="E135" s="22"/>
      <c r="F135" s="24"/>
      <c r="G135" s="24"/>
      <c r="H135" s="24"/>
      <c r="I135" s="24"/>
      <c r="J135" s="24"/>
      <c r="K135" s="24"/>
      <c r="L135" s="24"/>
      <c r="M135" s="24"/>
      <c r="N135" s="24"/>
      <c r="O135" s="24">
        <f t="shared" si="71"/>
        <v>1</v>
      </c>
      <c r="P135" s="24">
        <v>1</v>
      </c>
      <c r="Q135" s="22"/>
      <c r="R135" s="32"/>
      <c r="S135" s="32"/>
      <c r="T135" s="32"/>
      <c r="U135" s="32"/>
      <c r="V135" s="32"/>
      <c r="W135" s="32"/>
      <c r="X135" s="32"/>
      <c r="Y135" s="32"/>
      <c r="Z135" s="32"/>
      <c r="AA135" s="13">
        <v>8953</v>
      </c>
      <c r="AB135" s="33"/>
      <c r="AC135" s="13">
        <f t="shared" si="52"/>
        <v>8953</v>
      </c>
      <c r="AD135" s="13">
        <f>AC135*5%</f>
        <v>447.65000000000003</v>
      </c>
      <c r="AE135" s="26"/>
      <c r="AF135" s="27"/>
      <c r="AG135" s="26"/>
      <c r="AH135" s="28"/>
      <c r="AI135" s="28"/>
      <c r="AJ135" s="28"/>
      <c r="AK135" s="28"/>
      <c r="AL135" s="28"/>
      <c r="AM135" s="11"/>
      <c r="AN135" s="11"/>
      <c r="AO135" s="11"/>
      <c r="AP135" s="11">
        <f t="shared" si="63"/>
        <v>9400.65</v>
      </c>
      <c r="AQ135" s="11">
        <f t="shared" si="64"/>
        <v>5299.6</v>
      </c>
      <c r="AR135" s="11">
        <f t="shared" si="53"/>
        <v>14700.25</v>
      </c>
      <c r="AS135" s="414">
        <f>AC135/24*8*20%</f>
        <v>596.86666666666667</v>
      </c>
      <c r="AT135" s="414">
        <f t="shared" ref="AT135:AT138" si="72">AC135*5%</f>
        <v>447.65000000000003</v>
      </c>
      <c r="AU135" s="417">
        <f t="shared" ref="AU135:AU138" si="73">AC135*4%</f>
        <v>358.12</v>
      </c>
      <c r="AV135" s="11"/>
      <c r="AW135" s="11"/>
      <c r="AX135" s="11"/>
      <c r="AY135" s="11">
        <f t="shared" si="50"/>
        <v>16102.886666666667</v>
      </c>
      <c r="AZ135" s="11"/>
      <c r="BA135" s="11">
        <f t="shared" si="65"/>
        <v>16102.886666666667</v>
      </c>
      <c r="BB135" s="11">
        <f t="shared" si="66"/>
        <v>11630.446666666665</v>
      </c>
      <c r="BC135" s="11">
        <f t="shared" si="67"/>
        <v>41600</v>
      </c>
      <c r="BD135" s="11">
        <f t="shared" si="68"/>
        <v>499200</v>
      </c>
      <c r="BE135" s="8" t="s">
        <v>86</v>
      </c>
    </row>
    <row r="136" spans="1:57">
      <c r="A136" s="285" t="s">
        <v>59</v>
      </c>
      <c r="B136" s="290" t="s">
        <v>679</v>
      </c>
      <c r="C136" s="24">
        <f t="shared" si="70"/>
        <v>1</v>
      </c>
      <c r="D136" s="24">
        <v>1</v>
      </c>
      <c r="E136" s="22"/>
      <c r="F136" s="24"/>
      <c r="G136" s="24"/>
      <c r="H136" s="24"/>
      <c r="I136" s="24"/>
      <c r="J136" s="24"/>
      <c r="K136" s="24"/>
      <c r="L136" s="24"/>
      <c r="M136" s="24"/>
      <c r="N136" s="24"/>
      <c r="O136" s="24">
        <f t="shared" si="71"/>
        <v>1</v>
      </c>
      <c r="P136" s="24">
        <v>1</v>
      </c>
      <c r="Q136" s="22"/>
      <c r="R136" s="29"/>
      <c r="S136" s="29"/>
      <c r="T136" s="29"/>
      <c r="U136" s="29"/>
      <c r="V136" s="29"/>
      <c r="W136" s="29"/>
      <c r="X136" s="29"/>
      <c r="Y136" s="29"/>
      <c r="Z136" s="29"/>
      <c r="AA136" s="13">
        <v>8953</v>
      </c>
      <c r="AB136" s="12"/>
      <c r="AC136" s="13">
        <f t="shared" si="52"/>
        <v>8953</v>
      </c>
      <c r="AD136" s="26"/>
      <c r="AE136" s="26"/>
      <c r="AF136" s="27"/>
      <c r="AG136" s="26"/>
      <c r="AH136" s="28"/>
      <c r="AI136" s="28"/>
      <c r="AJ136" s="28"/>
      <c r="AK136" s="28"/>
      <c r="AL136" s="28"/>
      <c r="AM136" s="11"/>
      <c r="AN136" s="11"/>
      <c r="AO136" s="11"/>
      <c r="AP136" s="11">
        <f t="shared" si="63"/>
        <v>8953</v>
      </c>
      <c r="AQ136" s="11">
        <f t="shared" si="64"/>
        <v>5747.25</v>
      </c>
      <c r="AR136" s="11">
        <f t="shared" si="53"/>
        <v>14700.25</v>
      </c>
      <c r="AS136" s="414">
        <f>AC136/24*8*20%</f>
        <v>596.86666666666667</v>
      </c>
      <c r="AT136" s="414">
        <f t="shared" si="72"/>
        <v>447.65000000000003</v>
      </c>
      <c r="AU136" s="417">
        <f t="shared" si="73"/>
        <v>358.12</v>
      </c>
      <c r="AV136" s="11"/>
      <c r="AW136" s="11"/>
      <c r="AX136" s="11"/>
      <c r="AY136" s="11">
        <f t="shared" si="50"/>
        <v>16102.886666666667</v>
      </c>
      <c r="AZ136" s="11"/>
      <c r="BA136" s="11">
        <f t="shared" si="65"/>
        <v>16102.886666666667</v>
      </c>
      <c r="BB136" s="11">
        <f t="shared" si="66"/>
        <v>11630.446666666665</v>
      </c>
      <c r="BC136" s="11">
        <f t="shared" si="67"/>
        <v>41600</v>
      </c>
      <c r="BD136" s="11">
        <f t="shared" si="68"/>
        <v>499200</v>
      </c>
      <c r="BE136" s="8" t="s">
        <v>86</v>
      </c>
    </row>
    <row r="137" spans="1:57">
      <c r="A137" s="285" t="s">
        <v>59</v>
      </c>
      <c r="B137" s="290" t="s">
        <v>679</v>
      </c>
      <c r="C137" s="24">
        <f t="shared" si="70"/>
        <v>1</v>
      </c>
      <c r="D137" s="24">
        <v>1</v>
      </c>
      <c r="E137" s="292">
        <v>0</v>
      </c>
      <c r="F137" s="24"/>
      <c r="G137" s="24"/>
      <c r="H137" s="24"/>
      <c r="I137" s="24"/>
      <c r="J137" s="24"/>
      <c r="K137" s="24"/>
      <c r="L137" s="24"/>
      <c r="M137" s="24"/>
      <c r="N137" s="24"/>
      <c r="O137" s="24">
        <f t="shared" si="71"/>
        <v>1</v>
      </c>
      <c r="P137" s="24">
        <v>1</v>
      </c>
      <c r="Q137" s="292">
        <v>0</v>
      </c>
      <c r="R137" s="29"/>
      <c r="S137" s="29"/>
      <c r="T137" s="29"/>
      <c r="U137" s="29"/>
      <c r="V137" s="29"/>
      <c r="W137" s="29"/>
      <c r="X137" s="29"/>
      <c r="Y137" s="29"/>
      <c r="Z137" s="29"/>
      <c r="AA137" s="13">
        <v>8953</v>
      </c>
      <c r="AB137" s="12"/>
      <c r="AC137" s="13">
        <f t="shared" si="52"/>
        <v>8953</v>
      </c>
      <c r="AD137" s="26"/>
      <c r="AE137" s="26"/>
      <c r="AF137" s="27"/>
      <c r="AG137" s="26"/>
      <c r="AH137" s="28"/>
      <c r="AI137" s="28"/>
      <c r="AJ137" s="28"/>
      <c r="AK137" s="28"/>
      <c r="AL137" s="28"/>
      <c r="AM137" s="11"/>
      <c r="AN137" s="11"/>
      <c r="AO137" s="11"/>
      <c r="AP137" s="11">
        <f t="shared" si="63"/>
        <v>8953</v>
      </c>
      <c r="AQ137" s="11">
        <f t="shared" si="64"/>
        <v>5747.25</v>
      </c>
      <c r="AR137" s="11">
        <f t="shared" si="53"/>
        <v>14700.25</v>
      </c>
      <c r="AS137" s="414">
        <f>AC137/24*8*20%</f>
        <v>596.86666666666667</v>
      </c>
      <c r="AT137" s="414">
        <f t="shared" si="72"/>
        <v>447.65000000000003</v>
      </c>
      <c r="AU137" s="417">
        <f t="shared" si="73"/>
        <v>358.12</v>
      </c>
      <c r="AV137" s="11"/>
      <c r="AW137" s="11"/>
      <c r="AX137" s="11"/>
      <c r="AY137" s="11">
        <f t="shared" si="50"/>
        <v>16102.886666666667</v>
      </c>
      <c r="AZ137" s="11"/>
      <c r="BA137" s="11">
        <f t="shared" si="65"/>
        <v>16102.886666666667</v>
      </c>
      <c r="BB137" s="11">
        <f t="shared" si="66"/>
        <v>11630.446666666665</v>
      </c>
      <c r="BC137" s="11">
        <f t="shared" si="67"/>
        <v>41600</v>
      </c>
      <c r="BD137" s="11">
        <f t="shared" si="68"/>
        <v>499200</v>
      </c>
      <c r="BE137" s="8" t="s">
        <v>86</v>
      </c>
    </row>
    <row r="138" spans="1:57">
      <c r="A138" s="285" t="s">
        <v>59</v>
      </c>
      <c r="B138" s="290" t="s">
        <v>679</v>
      </c>
      <c r="C138" s="24">
        <f t="shared" si="70"/>
        <v>0</v>
      </c>
      <c r="D138" s="24"/>
      <c r="E138" s="292">
        <v>0</v>
      </c>
      <c r="F138" s="24"/>
      <c r="G138" s="24"/>
      <c r="H138" s="24"/>
      <c r="I138" s="24"/>
      <c r="J138" s="24"/>
      <c r="K138" s="24"/>
      <c r="L138" s="24"/>
      <c r="M138" s="24"/>
      <c r="N138" s="24"/>
      <c r="O138" s="24">
        <f t="shared" si="71"/>
        <v>1</v>
      </c>
      <c r="P138" s="24">
        <v>1</v>
      </c>
      <c r="Q138" s="292">
        <v>0</v>
      </c>
      <c r="R138" s="31"/>
      <c r="S138" s="31"/>
      <c r="T138" s="31"/>
      <c r="U138" s="31"/>
      <c r="V138" s="31"/>
      <c r="W138" s="31"/>
      <c r="X138" s="31"/>
      <c r="Y138" s="31"/>
      <c r="Z138" s="31"/>
      <c r="AA138" s="13">
        <v>8953</v>
      </c>
      <c r="AB138" s="13"/>
      <c r="AC138" s="13">
        <f t="shared" si="52"/>
        <v>8953</v>
      </c>
      <c r="AD138" s="13"/>
      <c r="AE138" s="13"/>
      <c r="AF138" s="30"/>
      <c r="AG138" s="13"/>
      <c r="AH138" s="13"/>
      <c r="AI138" s="13"/>
      <c r="AJ138" s="13"/>
      <c r="AK138" s="13"/>
      <c r="AL138" s="13"/>
      <c r="AM138" s="13"/>
      <c r="AN138" s="13"/>
      <c r="AO138" s="13"/>
      <c r="AP138" s="11">
        <f t="shared" si="63"/>
        <v>8953</v>
      </c>
      <c r="AQ138" s="11">
        <f t="shared" si="64"/>
        <v>5747.25</v>
      </c>
      <c r="AR138" s="11">
        <f t="shared" si="53"/>
        <v>14700.25</v>
      </c>
      <c r="AS138" s="414">
        <f>AC138/24*8*20%</f>
        <v>596.86666666666667</v>
      </c>
      <c r="AT138" s="414">
        <f t="shared" si="72"/>
        <v>447.65000000000003</v>
      </c>
      <c r="AU138" s="417">
        <f t="shared" si="73"/>
        <v>358.12</v>
      </c>
      <c r="AV138" s="13"/>
      <c r="AW138" s="13"/>
      <c r="AX138" s="13"/>
      <c r="AY138" s="11">
        <f t="shared" si="50"/>
        <v>16102.886666666667</v>
      </c>
      <c r="AZ138" s="13"/>
      <c r="BA138" s="11">
        <f t="shared" si="65"/>
        <v>16102.886666666667</v>
      </c>
      <c r="BB138" s="11">
        <f t="shared" si="66"/>
        <v>11630.446666666665</v>
      </c>
      <c r="BC138" s="11">
        <f t="shared" si="67"/>
        <v>41600</v>
      </c>
      <c r="BD138" s="11">
        <f t="shared" si="68"/>
        <v>0</v>
      </c>
      <c r="BE138" s="8" t="s">
        <v>86</v>
      </c>
    </row>
    <row r="139" spans="1:57" ht="27.6" customHeight="1">
      <c r="A139" s="285" t="s">
        <v>61</v>
      </c>
      <c r="B139" s="290" t="s">
        <v>680</v>
      </c>
      <c r="C139" s="24">
        <f t="shared" si="70"/>
        <v>1</v>
      </c>
      <c r="D139" s="24">
        <v>1</v>
      </c>
      <c r="E139" s="32"/>
      <c r="F139" s="24"/>
      <c r="G139" s="24"/>
      <c r="H139" s="24"/>
      <c r="I139" s="24"/>
      <c r="J139" s="24"/>
      <c r="K139" s="24"/>
      <c r="L139" s="24"/>
      <c r="M139" s="24"/>
      <c r="N139" s="24"/>
      <c r="O139" s="24">
        <f t="shared" si="71"/>
        <v>1</v>
      </c>
      <c r="P139" s="24">
        <v>1</v>
      </c>
      <c r="Q139" s="32"/>
      <c r="R139" s="31"/>
      <c r="S139" s="31"/>
      <c r="T139" s="31"/>
      <c r="U139" s="31"/>
      <c r="V139" s="31"/>
      <c r="W139" s="31"/>
      <c r="X139" s="31"/>
      <c r="Y139" s="31"/>
      <c r="Z139" s="31"/>
      <c r="AA139" s="12">
        <v>8729</v>
      </c>
      <c r="AB139" s="12"/>
      <c r="AC139" s="13">
        <f t="shared" si="52"/>
        <v>8729</v>
      </c>
      <c r="AD139" s="13">
        <f>AC139*5%</f>
        <v>436.45000000000005</v>
      </c>
      <c r="AE139" s="26"/>
      <c r="AF139" s="27"/>
      <c r="AG139" s="26"/>
      <c r="AH139" s="28"/>
      <c r="AI139" s="28"/>
      <c r="AJ139" s="28"/>
      <c r="AK139" s="28"/>
      <c r="AL139" s="28"/>
      <c r="AM139" s="11"/>
      <c r="AN139" s="11"/>
      <c r="AO139" s="11"/>
      <c r="AP139" s="11">
        <f t="shared" si="63"/>
        <v>9165.4500000000007</v>
      </c>
      <c r="AQ139" s="11">
        <f t="shared" si="64"/>
        <v>5534.7999999999993</v>
      </c>
      <c r="AR139" s="11">
        <f t="shared" si="53"/>
        <v>14700.25</v>
      </c>
      <c r="AS139" s="11"/>
      <c r="AT139" s="11"/>
      <c r="AU139" s="11"/>
      <c r="AV139" s="11"/>
      <c r="AW139" s="11"/>
      <c r="AX139" s="11"/>
      <c r="AY139" s="11">
        <f t="shared" si="50"/>
        <v>14700.25</v>
      </c>
      <c r="AZ139" s="11"/>
      <c r="BA139" s="11">
        <f t="shared" si="65"/>
        <v>14700.25</v>
      </c>
      <c r="BB139" s="11">
        <f t="shared" si="66"/>
        <v>6699.75</v>
      </c>
      <c r="BC139" s="11">
        <f t="shared" si="67"/>
        <v>32100</v>
      </c>
      <c r="BD139" s="11">
        <f t="shared" si="68"/>
        <v>385200</v>
      </c>
      <c r="BE139" s="8" t="s">
        <v>86</v>
      </c>
    </row>
    <row r="140" spans="1:57" ht="27">
      <c r="A140" s="285" t="s">
        <v>61</v>
      </c>
      <c r="B140" s="290" t="s">
        <v>681</v>
      </c>
      <c r="C140" s="24">
        <f t="shared" si="70"/>
        <v>1</v>
      </c>
      <c r="D140" s="24">
        <v>1</v>
      </c>
      <c r="E140" s="22"/>
      <c r="F140" s="24"/>
      <c r="G140" s="24"/>
      <c r="H140" s="24"/>
      <c r="I140" s="24"/>
      <c r="J140" s="24"/>
      <c r="K140" s="24"/>
      <c r="L140" s="24"/>
      <c r="M140" s="24"/>
      <c r="N140" s="24"/>
      <c r="O140" s="24">
        <f t="shared" si="71"/>
        <v>1</v>
      </c>
      <c r="P140" s="24">
        <v>1</v>
      </c>
      <c r="Q140" s="22"/>
      <c r="R140" s="23"/>
      <c r="S140" s="23"/>
      <c r="T140" s="23"/>
      <c r="U140" s="23"/>
      <c r="V140" s="23"/>
      <c r="W140" s="23"/>
      <c r="X140" s="23"/>
      <c r="Y140" s="23"/>
      <c r="Z140" s="23"/>
      <c r="AA140" s="12">
        <v>8729</v>
      </c>
      <c r="AB140" s="12"/>
      <c r="AC140" s="13">
        <f t="shared" si="52"/>
        <v>8729</v>
      </c>
      <c r="AD140" s="13">
        <f>AC140*5%</f>
        <v>436.45000000000005</v>
      </c>
      <c r="AE140" s="26"/>
      <c r="AF140" s="27"/>
      <c r="AG140" s="26"/>
      <c r="AH140" s="28"/>
      <c r="AI140" s="28"/>
      <c r="AJ140" s="28"/>
      <c r="AK140" s="28"/>
      <c r="AL140" s="28"/>
      <c r="AM140" s="11"/>
      <c r="AN140" s="11"/>
      <c r="AO140" s="11"/>
      <c r="AP140" s="11">
        <f t="shared" si="63"/>
        <v>9165.4500000000007</v>
      </c>
      <c r="AQ140" s="11">
        <f t="shared" si="64"/>
        <v>5534.7999999999993</v>
      </c>
      <c r="AR140" s="11">
        <f t="shared" si="53"/>
        <v>14700.25</v>
      </c>
      <c r="AS140" s="11"/>
      <c r="AT140" s="11"/>
      <c r="AU140" s="11"/>
      <c r="AV140" s="11"/>
      <c r="AW140" s="11"/>
      <c r="AX140" s="11"/>
      <c r="AY140" s="11">
        <f t="shared" si="50"/>
        <v>14700.25</v>
      </c>
      <c r="AZ140" s="11"/>
      <c r="BA140" s="11">
        <f t="shared" si="65"/>
        <v>14700.25</v>
      </c>
      <c r="BB140" s="11">
        <f t="shared" si="66"/>
        <v>6699.75</v>
      </c>
      <c r="BC140" s="11">
        <f t="shared" si="67"/>
        <v>32100</v>
      </c>
      <c r="BD140" s="11">
        <f t="shared" si="68"/>
        <v>385200</v>
      </c>
      <c r="BE140" s="8" t="s">
        <v>86</v>
      </c>
    </row>
    <row r="141" spans="1:57" ht="30" customHeight="1">
      <c r="A141" s="285" t="s">
        <v>61</v>
      </c>
      <c r="B141" s="290" t="s">
        <v>682</v>
      </c>
      <c r="C141" s="24">
        <f t="shared" si="70"/>
        <v>1</v>
      </c>
      <c r="D141" s="24"/>
      <c r="E141" s="22">
        <v>1</v>
      </c>
      <c r="F141" s="24"/>
      <c r="G141" s="24"/>
      <c r="H141" s="24"/>
      <c r="I141" s="24"/>
      <c r="J141" s="24"/>
      <c r="K141" s="24"/>
      <c r="L141" s="24"/>
      <c r="M141" s="24"/>
      <c r="N141" s="24"/>
      <c r="O141" s="24">
        <f t="shared" si="71"/>
        <v>1</v>
      </c>
      <c r="P141" s="24"/>
      <c r="Q141" s="22">
        <v>1</v>
      </c>
      <c r="R141" s="29"/>
      <c r="S141" s="29"/>
      <c r="T141" s="29"/>
      <c r="U141" s="29"/>
      <c r="V141" s="29"/>
      <c r="W141" s="29"/>
      <c r="X141" s="29"/>
      <c r="Y141" s="29"/>
      <c r="Z141" s="29"/>
      <c r="AA141" s="12">
        <v>8729</v>
      </c>
      <c r="AB141" s="12"/>
      <c r="AC141" s="13">
        <f t="shared" si="52"/>
        <v>8729</v>
      </c>
      <c r="AD141" s="13">
        <f>AC141*5%</f>
        <v>436.45000000000005</v>
      </c>
      <c r="AE141" s="26"/>
      <c r="AF141" s="27"/>
      <c r="AG141" s="26"/>
      <c r="AH141" s="28"/>
      <c r="AI141" s="28"/>
      <c r="AJ141" s="28"/>
      <c r="AK141" s="28"/>
      <c r="AL141" s="28"/>
      <c r="AM141" s="11"/>
      <c r="AN141" s="11"/>
      <c r="AO141" s="11"/>
      <c r="AP141" s="11">
        <f t="shared" si="63"/>
        <v>9165.4500000000007</v>
      </c>
      <c r="AQ141" s="11">
        <f t="shared" si="64"/>
        <v>5534.7999999999993</v>
      </c>
      <c r="AR141" s="11">
        <f t="shared" si="53"/>
        <v>14700.25</v>
      </c>
      <c r="AS141" s="11"/>
      <c r="AT141" s="11"/>
      <c r="AU141" s="11"/>
      <c r="AV141" s="11"/>
      <c r="AW141" s="11"/>
      <c r="AX141" s="11"/>
      <c r="AY141" s="11">
        <f t="shared" si="50"/>
        <v>14700.25</v>
      </c>
      <c r="AZ141" s="11"/>
      <c r="BA141" s="11">
        <f t="shared" si="65"/>
        <v>14700.25</v>
      </c>
      <c r="BB141" s="11">
        <f t="shared" si="66"/>
        <v>6699.75</v>
      </c>
      <c r="BC141" s="11">
        <f t="shared" si="67"/>
        <v>32100</v>
      </c>
      <c r="BD141" s="11">
        <f t="shared" si="68"/>
        <v>385200</v>
      </c>
      <c r="BE141" s="8" t="s">
        <v>86</v>
      </c>
    </row>
    <row r="142" spans="1:57" ht="25.8" customHeight="1">
      <c r="A142" s="285" t="s">
        <v>61</v>
      </c>
      <c r="B142" s="290" t="s">
        <v>682</v>
      </c>
      <c r="C142" s="24">
        <f t="shared" si="70"/>
        <v>1</v>
      </c>
      <c r="D142" s="24"/>
      <c r="E142" s="22">
        <v>1</v>
      </c>
      <c r="F142" s="24"/>
      <c r="G142" s="24"/>
      <c r="H142" s="24"/>
      <c r="I142" s="24"/>
      <c r="J142" s="24"/>
      <c r="K142" s="24"/>
      <c r="L142" s="24"/>
      <c r="M142" s="24"/>
      <c r="N142" s="24"/>
      <c r="O142" s="24">
        <f t="shared" si="71"/>
        <v>1</v>
      </c>
      <c r="P142" s="24"/>
      <c r="Q142" s="22">
        <v>1</v>
      </c>
      <c r="R142" s="29"/>
      <c r="S142" s="29"/>
      <c r="T142" s="29"/>
      <c r="U142" s="29"/>
      <c r="V142" s="29"/>
      <c r="W142" s="29"/>
      <c r="X142" s="29"/>
      <c r="Y142" s="29"/>
      <c r="Z142" s="29"/>
      <c r="AA142" s="12">
        <v>8729</v>
      </c>
      <c r="AB142" s="12"/>
      <c r="AC142" s="13">
        <f t="shared" si="52"/>
        <v>8729</v>
      </c>
      <c r="AD142" s="13">
        <f>AC142*5%</f>
        <v>436.45000000000005</v>
      </c>
      <c r="AE142" s="26"/>
      <c r="AF142" s="27"/>
      <c r="AG142" s="26"/>
      <c r="AH142" s="28"/>
      <c r="AI142" s="28"/>
      <c r="AJ142" s="28"/>
      <c r="AK142" s="28"/>
      <c r="AL142" s="28"/>
      <c r="AM142" s="11"/>
      <c r="AN142" s="11"/>
      <c r="AO142" s="11"/>
      <c r="AP142" s="11">
        <f t="shared" si="63"/>
        <v>9165.4500000000007</v>
      </c>
      <c r="AQ142" s="11">
        <f t="shared" si="64"/>
        <v>5534.7999999999993</v>
      </c>
      <c r="AR142" s="11">
        <f t="shared" si="53"/>
        <v>14700.25</v>
      </c>
      <c r="AS142" s="11"/>
      <c r="AT142" s="11"/>
      <c r="AU142" s="11"/>
      <c r="AV142" s="11"/>
      <c r="AW142" s="11"/>
      <c r="AX142" s="11"/>
      <c r="AY142" s="11">
        <f t="shared" si="50"/>
        <v>14700.25</v>
      </c>
      <c r="AZ142" s="11"/>
      <c r="BA142" s="11">
        <f t="shared" si="65"/>
        <v>14700.25</v>
      </c>
      <c r="BB142" s="11">
        <f t="shared" si="66"/>
        <v>6699.75</v>
      </c>
      <c r="BC142" s="11">
        <f t="shared" si="67"/>
        <v>32100</v>
      </c>
      <c r="BD142" s="11">
        <f t="shared" si="68"/>
        <v>385200</v>
      </c>
      <c r="BE142" s="8" t="s">
        <v>86</v>
      </c>
    </row>
    <row r="143" spans="1:57" ht="27">
      <c r="A143" s="285" t="s">
        <v>61</v>
      </c>
      <c r="B143" s="290" t="s">
        <v>682</v>
      </c>
      <c r="C143" s="24">
        <f t="shared" si="70"/>
        <v>1</v>
      </c>
      <c r="D143" s="24"/>
      <c r="E143" s="32">
        <v>1</v>
      </c>
      <c r="F143" s="24"/>
      <c r="G143" s="24"/>
      <c r="H143" s="24"/>
      <c r="I143" s="24"/>
      <c r="J143" s="24"/>
      <c r="K143" s="24"/>
      <c r="L143" s="24"/>
      <c r="M143" s="24"/>
      <c r="N143" s="24"/>
      <c r="O143" s="24">
        <f t="shared" si="71"/>
        <v>1</v>
      </c>
      <c r="P143" s="24"/>
      <c r="Q143" s="32">
        <v>1</v>
      </c>
      <c r="R143" s="29"/>
      <c r="S143" s="29"/>
      <c r="T143" s="29"/>
      <c r="U143" s="29"/>
      <c r="V143" s="29"/>
      <c r="W143" s="29"/>
      <c r="X143" s="29"/>
      <c r="Y143" s="29"/>
      <c r="Z143" s="29"/>
      <c r="AA143" s="12">
        <v>8729</v>
      </c>
      <c r="AB143" s="13"/>
      <c r="AC143" s="13">
        <f t="shared" si="52"/>
        <v>8729</v>
      </c>
      <c r="AD143" s="13"/>
      <c r="AE143" s="13"/>
      <c r="AF143" s="30"/>
      <c r="AG143" s="13"/>
      <c r="AH143" s="13"/>
      <c r="AI143" s="13"/>
      <c r="AJ143" s="13"/>
      <c r="AK143" s="13"/>
      <c r="AL143" s="13"/>
      <c r="AM143" s="13"/>
      <c r="AN143" s="13"/>
      <c r="AO143" s="13"/>
      <c r="AP143" s="11">
        <f t="shared" si="63"/>
        <v>8729</v>
      </c>
      <c r="AQ143" s="11">
        <f t="shared" si="64"/>
        <v>5971.25</v>
      </c>
      <c r="AR143" s="11">
        <f t="shared" si="53"/>
        <v>14700.25</v>
      </c>
      <c r="AS143" s="13"/>
      <c r="AT143" s="13"/>
      <c r="AU143" s="13"/>
      <c r="AV143" s="13"/>
      <c r="AW143" s="13"/>
      <c r="AX143" s="13"/>
      <c r="AY143" s="11">
        <f t="shared" si="50"/>
        <v>14700.25</v>
      </c>
      <c r="AZ143" s="13"/>
      <c r="BA143" s="11">
        <f t="shared" si="65"/>
        <v>14700.25</v>
      </c>
      <c r="BB143" s="11">
        <f t="shared" si="66"/>
        <v>6699.75</v>
      </c>
      <c r="BC143" s="11">
        <f t="shared" si="67"/>
        <v>32100</v>
      </c>
      <c r="BD143" s="11">
        <f t="shared" si="68"/>
        <v>385200</v>
      </c>
      <c r="BE143" s="8" t="s">
        <v>86</v>
      </c>
    </row>
    <row r="144" spans="1:57" ht="27">
      <c r="A144" s="285" t="s">
        <v>61</v>
      </c>
      <c r="B144" s="290" t="s">
        <v>682</v>
      </c>
      <c r="C144" s="24">
        <f t="shared" si="70"/>
        <v>0</v>
      </c>
      <c r="D144" s="24"/>
      <c r="E144" s="22"/>
      <c r="F144" s="24"/>
      <c r="G144" s="24"/>
      <c r="H144" s="24"/>
      <c r="I144" s="24"/>
      <c r="J144" s="24"/>
      <c r="K144" s="24"/>
      <c r="L144" s="24"/>
      <c r="M144" s="24"/>
      <c r="N144" s="24"/>
      <c r="O144" s="24">
        <f t="shared" si="71"/>
        <v>1</v>
      </c>
      <c r="P144" s="24"/>
      <c r="Q144" s="22">
        <v>1</v>
      </c>
      <c r="R144" s="32"/>
      <c r="S144" s="32"/>
      <c r="T144" s="32"/>
      <c r="U144" s="32"/>
      <c r="V144" s="32"/>
      <c r="W144" s="32"/>
      <c r="X144" s="32"/>
      <c r="Y144" s="32"/>
      <c r="Z144" s="32"/>
      <c r="AA144" s="12">
        <v>8729</v>
      </c>
      <c r="AB144" s="33"/>
      <c r="AC144" s="13">
        <f t="shared" si="52"/>
        <v>8729</v>
      </c>
      <c r="AD144" s="26"/>
      <c r="AE144" s="26"/>
      <c r="AF144" s="27"/>
      <c r="AG144" s="26"/>
      <c r="AH144" s="28"/>
      <c r="AI144" s="28"/>
      <c r="AJ144" s="28"/>
      <c r="AK144" s="28"/>
      <c r="AL144" s="28"/>
      <c r="AM144" s="11"/>
      <c r="AN144" s="11"/>
      <c r="AO144" s="11"/>
      <c r="AP144" s="11">
        <f t="shared" si="63"/>
        <v>8729</v>
      </c>
      <c r="AQ144" s="11">
        <f t="shared" si="64"/>
        <v>5971.25</v>
      </c>
      <c r="AR144" s="11">
        <f t="shared" si="53"/>
        <v>14700.25</v>
      </c>
      <c r="AS144" s="11"/>
      <c r="AT144" s="11"/>
      <c r="AU144" s="11"/>
      <c r="AV144" s="11"/>
      <c r="AW144" s="11"/>
      <c r="AX144" s="11"/>
      <c r="AY144" s="11">
        <f t="shared" si="50"/>
        <v>14700.25</v>
      </c>
      <c r="AZ144" s="11"/>
      <c r="BA144" s="11">
        <f t="shared" si="65"/>
        <v>14700.25</v>
      </c>
      <c r="BB144" s="11">
        <f t="shared" si="66"/>
        <v>6699.75</v>
      </c>
      <c r="BC144" s="11">
        <f t="shared" si="67"/>
        <v>32100</v>
      </c>
      <c r="BD144" s="11">
        <f t="shared" si="68"/>
        <v>0</v>
      </c>
      <c r="BE144" s="8" t="s">
        <v>86</v>
      </c>
    </row>
    <row r="145" spans="1:57">
      <c r="A145" s="285"/>
      <c r="B145" s="283" t="s">
        <v>683</v>
      </c>
      <c r="C145" s="24">
        <f t="shared" si="70"/>
        <v>0</v>
      </c>
      <c r="D145" s="24"/>
      <c r="E145" s="22"/>
      <c r="F145" s="24"/>
      <c r="G145" s="24"/>
      <c r="H145" s="24"/>
      <c r="I145" s="24"/>
      <c r="J145" s="24"/>
      <c r="K145" s="24"/>
      <c r="L145" s="24"/>
      <c r="M145" s="24"/>
      <c r="N145" s="24"/>
      <c r="O145" s="24">
        <f t="shared" si="71"/>
        <v>0</v>
      </c>
      <c r="P145" s="24"/>
      <c r="Q145" s="22"/>
      <c r="R145" s="29"/>
      <c r="S145" s="29"/>
      <c r="T145" s="29"/>
      <c r="U145" s="29"/>
      <c r="V145" s="29"/>
      <c r="W145" s="29"/>
      <c r="X145" s="29"/>
      <c r="Y145" s="29"/>
      <c r="Z145" s="29"/>
      <c r="AA145" s="13"/>
      <c r="AB145" s="12"/>
      <c r="AC145" s="13">
        <f t="shared" si="52"/>
        <v>0</v>
      </c>
      <c r="AD145" s="26"/>
      <c r="AE145" s="26"/>
      <c r="AF145" s="27"/>
      <c r="AG145" s="26"/>
      <c r="AH145" s="28"/>
      <c r="AI145" s="28"/>
      <c r="AJ145" s="28"/>
      <c r="AK145" s="28"/>
      <c r="AL145" s="28"/>
      <c r="AM145" s="11"/>
      <c r="AN145" s="11"/>
      <c r="AO145" s="11"/>
      <c r="AP145" s="11">
        <f t="shared" si="63"/>
        <v>0</v>
      </c>
      <c r="AQ145" s="11">
        <f t="shared" si="64"/>
        <v>14700.25</v>
      </c>
      <c r="AR145" s="11">
        <f t="shared" si="53"/>
        <v>14700.25</v>
      </c>
      <c r="AS145" s="11"/>
      <c r="AT145" s="11"/>
      <c r="AU145" s="11"/>
      <c r="AV145" s="11"/>
      <c r="AW145" s="11"/>
      <c r="AX145" s="11"/>
      <c r="AY145" s="11">
        <f t="shared" si="50"/>
        <v>14700.25</v>
      </c>
      <c r="AZ145" s="11"/>
      <c r="BA145" s="11">
        <f t="shared" si="65"/>
        <v>14700.25</v>
      </c>
      <c r="BB145" s="11">
        <f t="shared" si="66"/>
        <v>0</v>
      </c>
      <c r="BC145" s="11">
        <f t="shared" si="67"/>
        <v>22050.375</v>
      </c>
      <c r="BD145" s="11">
        <f t="shared" si="68"/>
        <v>0</v>
      </c>
      <c r="BE145" s="8" t="s">
        <v>86</v>
      </c>
    </row>
    <row r="146" spans="1:57">
      <c r="A146" s="285" t="s">
        <v>63</v>
      </c>
      <c r="B146" s="284" t="s">
        <v>684</v>
      </c>
      <c r="C146" s="24">
        <f t="shared" si="70"/>
        <v>0</v>
      </c>
      <c r="D146" s="24"/>
      <c r="E146" s="291">
        <v>0</v>
      </c>
      <c r="F146" s="24"/>
      <c r="G146" s="24"/>
      <c r="H146" s="24"/>
      <c r="I146" s="24"/>
      <c r="J146" s="24"/>
      <c r="K146" s="24"/>
      <c r="L146" s="24"/>
      <c r="M146" s="24"/>
      <c r="N146" s="24"/>
      <c r="O146" s="24">
        <f t="shared" si="71"/>
        <v>1</v>
      </c>
      <c r="P146" s="24">
        <v>1</v>
      </c>
      <c r="Q146" s="291">
        <v>0</v>
      </c>
      <c r="R146" s="29"/>
      <c r="S146" s="29"/>
      <c r="T146" s="29"/>
      <c r="U146" s="29"/>
      <c r="V146" s="29"/>
      <c r="W146" s="29"/>
      <c r="X146" s="29"/>
      <c r="Y146" s="29"/>
      <c r="Z146" s="29"/>
      <c r="AA146" s="13">
        <v>8953</v>
      </c>
      <c r="AB146" s="12"/>
      <c r="AC146" s="13">
        <f t="shared" si="52"/>
        <v>8953</v>
      </c>
      <c r="AD146" s="26"/>
      <c r="AE146" s="26">
        <f>AC146*10%</f>
        <v>895.30000000000007</v>
      </c>
      <c r="AF146" s="27"/>
      <c r="AG146" s="26"/>
      <c r="AH146" s="28"/>
      <c r="AI146" s="28">
        <f>AC146*10%</f>
        <v>895.30000000000007</v>
      </c>
      <c r="AJ146" s="28"/>
      <c r="AK146" s="28"/>
      <c r="AL146" s="28"/>
      <c r="AM146" s="11"/>
      <c r="AN146" s="11"/>
      <c r="AO146" s="11"/>
      <c r="AP146" s="11">
        <f t="shared" si="63"/>
        <v>10743.599999999999</v>
      </c>
      <c r="AQ146" s="11">
        <f t="shared" si="64"/>
        <v>3956.6500000000015</v>
      </c>
      <c r="AR146" s="11">
        <f t="shared" si="53"/>
        <v>14700.25</v>
      </c>
      <c r="AS146" s="11"/>
      <c r="AT146" s="11"/>
      <c r="AU146" s="11"/>
      <c r="AV146" s="11"/>
      <c r="AW146" s="11"/>
      <c r="AX146" s="11"/>
      <c r="AY146" s="11">
        <f t="shared" si="50"/>
        <v>14700.25</v>
      </c>
      <c r="AZ146" s="11"/>
      <c r="BA146" s="11">
        <f t="shared" si="65"/>
        <v>14700.25</v>
      </c>
      <c r="BB146" s="11">
        <f t="shared" si="66"/>
        <v>5255.75</v>
      </c>
      <c r="BC146" s="11">
        <f t="shared" si="67"/>
        <v>29934</v>
      </c>
      <c r="BD146" s="11">
        <f t="shared" si="68"/>
        <v>0</v>
      </c>
      <c r="BE146" s="8" t="s">
        <v>86</v>
      </c>
    </row>
    <row r="147" spans="1:57">
      <c r="A147" s="285" t="s">
        <v>63</v>
      </c>
      <c r="B147" s="284" t="s">
        <v>684</v>
      </c>
      <c r="C147" s="24">
        <f t="shared" si="70"/>
        <v>1</v>
      </c>
      <c r="D147" s="24">
        <v>1</v>
      </c>
      <c r="E147" s="32"/>
      <c r="F147" s="24"/>
      <c r="G147" s="24"/>
      <c r="H147" s="24"/>
      <c r="I147" s="24"/>
      <c r="J147" s="24"/>
      <c r="K147" s="24"/>
      <c r="L147" s="24"/>
      <c r="M147" s="24"/>
      <c r="N147" s="24"/>
      <c r="O147" s="24">
        <f t="shared" si="71"/>
        <v>1</v>
      </c>
      <c r="P147" s="24">
        <v>1</v>
      </c>
      <c r="Q147" s="32"/>
      <c r="R147" s="34"/>
      <c r="S147" s="34"/>
      <c r="T147" s="34"/>
      <c r="U147" s="34"/>
      <c r="V147" s="34"/>
      <c r="W147" s="34"/>
      <c r="X147" s="34"/>
      <c r="Y147" s="34"/>
      <c r="Z147" s="34"/>
      <c r="AA147" s="13">
        <v>8953</v>
      </c>
      <c r="AB147" s="13"/>
      <c r="AC147" s="13">
        <f t="shared" si="52"/>
        <v>8953</v>
      </c>
      <c r="AD147" s="13"/>
      <c r="AE147" s="13"/>
      <c r="AF147" s="30"/>
      <c r="AG147" s="13"/>
      <c r="AH147" s="13"/>
      <c r="AI147" s="13"/>
      <c r="AJ147" s="13"/>
      <c r="AK147" s="13"/>
      <c r="AL147" s="13"/>
      <c r="AM147" s="13"/>
      <c r="AN147" s="13"/>
      <c r="AO147" s="13"/>
      <c r="AP147" s="11">
        <f t="shared" si="63"/>
        <v>8953</v>
      </c>
      <c r="AQ147" s="11">
        <f t="shared" si="64"/>
        <v>5747.25</v>
      </c>
      <c r="AR147" s="11">
        <f t="shared" si="53"/>
        <v>14700.25</v>
      </c>
      <c r="AS147" s="13"/>
      <c r="AT147" s="13"/>
      <c r="AU147" s="13"/>
      <c r="AV147" s="13"/>
      <c r="AW147" s="13"/>
      <c r="AX147" s="13"/>
      <c r="AY147" s="11">
        <f t="shared" si="50"/>
        <v>14700.25</v>
      </c>
      <c r="AZ147" s="13"/>
      <c r="BA147" s="11">
        <f t="shared" si="65"/>
        <v>14700.25</v>
      </c>
      <c r="BB147" s="11">
        <f t="shared" si="66"/>
        <v>5255.75</v>
      </c>
      <c r="BC147" s="11">
        <f t="shared" si="67"/>
        <v>29934</v>
      </c>
      <c r="BD147" s="11">
        <f t="shared" si="68"/>
        <v>359208</v>
      </c>
      <c r="BE147" s="8" t="s">
        <v>86</v>
      </c>
    </row>
    <row r="148" spans="1:57">
      <c r="A148" s="285" t="s">
        <v>59</v>
      </c>
      <c r="B148" s="284" t="s">
        <v>684</v>
      </c>
      <c r="C148" s="24">
        <f t="shared" si="70"/>
        <v>1</v>
      </c>
      <c r="D148" s="24">
        <v>1</v>
      </c>
      <c r="E148" s="22"/>
      <c r="F148" s="24"/>
      <c r="G148" s="24"/>
      <c r="H148" s="24"/>
      <c r="I148" s="24"/>
      <c r="J148" s="24"/>
      <c r="K148" s="24"/>
      <c r="L148" s="24"/>
      <c r="M148" s="24"/>
      <c r="N148" s="24"/>
      <c r="O148" s="24">
        <f t="shared" si="71"/>
        <v>1</v>
      </c>
      <c r="P148" s="24">
        <v>1</v>
      </c>
      <c r="Q148" s="22"/>
      <c r="R148" s="32"/>
      <c r="S148" s="32"/>
      <c r="T148" s="32"/>
      <c r="U148" s="32"/>
      <c r="V148" s="32"/>
      <c r="W148" s="32"/>
      <c r="X148" s="32"/>
      <c r="Y148" s="32"/>
      <c r="Z148" s="32"/>
      <c r="AA148" s="13">
        <v>8953</v>
      </c>
      <c r="AB148" s="33"/>
      <c r="AC148" s="13">
        <f t="shared" si="52"/>
        <v>8953</v>
      </c>
      <c r="AD148" s="26"/>
      <c r="AE148" s="26"/>
      <c r="AF148" s="27"/>
      <c r="AG148" s="26"/>
      <c r="AH148" s="28"/>
      <c r="AI148" s="28"/>
      <c r="AJ148" s="28"/>
      <c r="AK148" s="28"/>
      <c r="AL148" s="28"/>
      <c r="AM148" s="11"/>
      <c r="AN148" s="11"/>
      <c r="AO148" s="11"/>
      <c r="AP148" s="11">
        <f t="shared" si="63"/>
        <v>8953</v>
      </c>
      <c r="AQ148" s="11">
        <f t="shared" si="64"/>
        <v>5747.25</v>
      </c>
      <c r="AR148" s="11">
        <f t="shared" si="53"/>
        <v>14700.25</v>
      </c>
      <c r="AS148" s="11"/>
      <c r="AT148" s="11"/>
      <c r="AU148" s="11"/>
      <c r="AV148" s="11"/>
      <c r="AW148" s="11"/>
      <c r="AX148" s="11"/>
      <c r="AY148" s="11">
        <f t="shared" si="50"/>
        <v>14700.25</v>
      </c>
      <c r="AZ148" s="11"/>
      <c r="BA148" s="11">
        <f t="shared" si="65"/>
        <v>14700.25</v>
      </c>
      <c r="BB148" s="11">
        <f t="shared" si="66"/>
        <v>13033.083333333332</v>
      </c>
      <c r="BC148" s="11">
        <f t="shared" si="67"/>
        <v>41600</v>
      </c>
      <c r="BD148" s="11">
        <f t="shared" si="68"/>
        <v>499200</v>
      </c>
      <c r="BE148" s="8" t="s">
        <v>86</v>
      </c>
    </row>
    <row r="149" spans="1:57">
      <c r="A149" s="285" t="s">
        <v>63</v>
      </c>
      <c r="B149" s="290" t="s">
        <v>685</v>
      </c>
      <c r="C149" s="24">
        <f t="shared" si="70"/>
        <v>1</v>
      </c>
      <c r="D149" s="24">
        <v>1</v>
      </c>
      <c r="E149" s="22"/>
      <c r="F149" s="24"/>
      <c r="G149" s="24"/>
      <c r="H149" s="24"/>
      <c r="I149" s="24"/>
      <c r="J149" s="24"/>
      <c r="K149" s="24"/>
      <c r="L149" s="24"/>
      <c r="M149" s="24"/>
      <c r="N149" s="24"/>
      <c r="O149" s="24">
        <f t="shared" si="71"/>
        <v>1</v>
      </c>
      <c r="P149" s="24">
        <v>1</v>
      </c>
      <c r="Q149" s="22"/>
      <c r="R149" s="29"/>
      <c r="S149" s="29"/>
      <c r="T149" s="29"/>
      <c r="U149" s="29"/>
      <c r="V149" s="29"/>
      <c r="W149" s="29"/>
      <c r="X149" s="29"/>
      <c r="Y149" s="29"/>
      <c r="Z149" s="29"/>
      <c r="AA149" s="13">
        <v>8729</v>
      </c>
      <c r="AB149" s="12"/>
      <c r="AC149" s="13">
        <f t="shared" si="52"/>
        <v>8729</v>
      </c>
      <c r="AD149" s="26"/>
      <c r="AE149" s="26"/>
      <c r="AF149" s="27">
        <f>AC149*15%</f>
        <v>1309.3499999999999</v>
      </c>
      <c r="AG149" s="26"/>
      <c r="AH149" s="28"/>
      <c r="AI149" s="28"/>
      <c r="AJ149" s="28"/>
      <c r="AK149" s="28"/>
      <c r="AL149" s="28"/>
      <c r="AM149" s="11"/>
      <c r="AN149" s="11"/>
      <c r="AO149" s="11"/>
      <c r="AP149" s="11">
        <f t="shared" si="63"/>
        <v>10038.35</v>
      </c>
      <c r="AQ149" s="11">
        <f t="shared" si="64"/>
        <v>4661.8999999999996</v>
      </c>
      <c r="AR149" s="11">
        <f t="shared" si="53"/>
        <v>14700.25</v>
      </c>
      <c r="AS149" s="11"/>
      <c r="AT149" s="11"/>
      <c r="AU149" s="11"/>
      <c r="AV149" s="11"/>
      <c r="AW149" s="11"/>
      <c r="AX149" s="11"/>
      <c r="AY149" s="11">
        <f t="shared" si="50"/>
        <v>14700.25</v>
      </c>
      <c r="AZ149" s="11"/>
      <c r="BA149" s="11">
        <f t="shared" si="65"/>
        <v>14700.25</v>
      </c>
      <c r="BB149" s="11">
        <f t="shared" si="66"/>
        <v>5255.75</v>
      </c>
      <c r="BC149" s="11">
        <f t="shared" si="67"/>
        <v>29934</v>
      </c>
      <c r="BD149" s="11">
        <f t="shared" si="68"/>
        <v>359208</v>
      </c>
      <c r="BE149" s="8" t="s">
        <v>86</v>
      </c>
    </row>
    <row r="150" spans="1:57" hidden="1">
      <c r="A150" s="29"/>
      <c r="B150" s="22"/>
      <c r="C150" s="24">
        <f t="shared" ref="C150:C164" si="74">SUM(D150:N150)</f>
        <v>0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>
        <f t="shared" si="71"/>
        <v>0</v>
      </c>
      <c r="P150" s="24"/>
      <c r="Q150" s="24"/>
      <c r="R150" s="29"/>
      <c r="S150" s="29"/>
      <c r="T150" s="29"/>
      <c r="U150" s="29"/>
      <c r="V150" s="29"/>
      <c r="W150" s="29"/>
      <c r="X150" s="29"/>
      <c r="Y150" s="29"/>
      <c r="Z150" s="29"/>
      <c r="AA150" s="13"/>
      <c r="AB150" s="12"/>
      <c r="AC150" s="13">
        <f t="shared" si="52"/>
        <v>0</v>
      </c>
      <c r="AD150" s="26"/>
      <c r="AE150" s="26"/>
      <c r="AF150" s="27"/>
      <c r="AG150" s="26"/>
      <c r="AH150" s="28"/>
      <c r="AI150" s="28"/>
      <c r="AJ150" s="28"/>
      <c r="AK150" s="28"/>
      <c r="AL150" s="28"/>
      <c r="AM150" s="11"/>
      <c r="AN150" s="11"/>
      <c r="AO150" s="11"/>
      <c r="AP150" s="11">
        <f t="shared" si="63"/>
        <v>0</v>
      </c>
      <c r="AQ150" s="11">
        <f t="shared" si="64"/>
        <v>14700.25</v>
      </c>
      <c r="AR150" s="11">
        <f t="shared" si="53"/>
        <v>14700.25</v>
      </c>
      <c r="AS150" s="11"/>
      <c r="AT150" s="11"/>
      <c r="AU150" s="11"/>
      <c r="AV150" s="11"/>
      <c r="AW150" s="11"/>
      <c r="AX150" s="11"/>
      <c r="AY150" s="11">
        <f t="shared" si="50"/>
        <v>14700.25</v>
      </c>
      <c r="AZ150" s="11"/>
      <c r="BA150" s="11">
        <f t="shared" si="65"/>
        <v>14700.25</v>
      </c>
      <c r="BB150" s="11">
        <f t="shared" si="66"/>
        <v>0</v>
      </c>
      <c r="BC150" s="11">
        <f t="shared" si="67"/>
        <v>22050.375</v>
      </c>
      <c r="BD150" s="11">
        <f t="shared" si="68"/>
        <v>0</v>
      </c>
      <c r="BE150" s="8" t="s">
        <v>86</v>
      </c>
    </row>
    <row r="151" spans="1:57" hidden="1">
      <c r="A151" s="29"/>
      <c r="B151" s="22"/>
      <c r="C151" s="24">
        <f t="shared" si="74"/>
        <v>0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>
        <f t="shared" si="71"/>
        <v>0</v>
      </c>
      <c r="P151" s="24"/>
      <c r="Q151" s="24"/>
      <c r="R151" s="29"/>
      <c r="S151" s="29"/>
      <c r="T151" s="29"/>
      <c r="U151" s="29"/>
      <c r="V151" s="29"/>
      <c r="W151" s="29"/>
      <c r="X151" s="29"/>
      <c r="Y151" s="29"/>
      <c r="Z151" s="29"/>
      <c r="AA151" s="12"/>
      <c r="AB151" s="12"/>
      <c r="AC151" s="13">
        <f t="shared" si="52"/>
        <v>0</v>
      </c>
      <c r="AD151" s="26"/>
      <c r="AE151" s="26"/>
      <c r="AF151" s="27"/>
      <c r="AG151" s="26"/>
      <c r="AH151" s="28"/>
      <c r="AI151" s="28"/>
      <c r="AJ151" s="28"/>
      <c r="AK151" s="28"/>
      <c r="AL151" s="28"/>
      <c r="AM151" s="11"/>
      <c r="AN151" s="11"/>
      <c r="AO151" s="11"/>
      <c r="AP151" s="11">
        <f t="shared" si="63"/>
        <v>0</v>
      </c>
      <c r="AQ151" s="11">
        <f t="shared" si="64"/>
        <v>14700.25</v>
      </c>
      <c r="AR151" s="11">
        <f t="shared" si="53"/>
        <v>14700.25</v>
      </c>
      <c r="AS151" s="11"/>
      <c r="AT151" s="11"/>
      <c r="AU151" s="11"/>
      <c r="AV151" s="11"/>
      <c r="AW151" s="11"/>
      <c r="AX151" s="11"/>
      <c r="AY151" s="11">
        <f t="shared" si="50"/>
        <v>14700.25</v>
      </c>
      <c r="AZ151" s="11"/>
      <c r="BA151" s="11">
        <f t="shared" si="65"/>
        <v>14700.25</v>
      </c>
      <c r="BB151" s="11">
        <f t="shared" si="66"/>
        <v>0</v>
      </c>
      <c r="BC151" s="11">
        <f t="shared" si="67"/>
        <v>22050.375</v>
      </c>
      <c r="BD151" s="11">
        <f t="shared" si="68"/>
        <v>0</v>
      </c>
      <c r="BE151" s="8" t="s">
        <v>86</v>
      </c>
    </row>
    <row r="152" spans="1:57" hidden="1">
      <c r="A152" s="29"/>
      <c r="B152" s="22"/>
      <c r="C152" s="24">
        <f t="shared" si="74"/>
        <v>0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>
        <f t="shared" si="71"/>
        <v>0</v>
      </c>
      <c r="P152" s="24"/>
      <c r="Q152" s="24"/>
      <c r="R152" s="29"/>
      <c r="S152" s="29"/>
      <c r="T152" s="29"/>
      <c r="U152" s="29"/>
      <c r="V152" s="29"/>
      <c r="W152" s="29"/>
      <c r="X152" s="29"/>
      <c r="Y152" s="29"/>
      <c r="Z152" s="29"/>
      <c r="AA152" s="12"/>
      <c r="AB152" s="12"/>
      <c r="AC152" s="13">
        <f t="shared" si="52"/>
        <v>0</v>
      </c>
      <c r="AD152" s="26"/>
      <c r="AE152" s="26"/>
      <c r="AF152" s="27"/>
      <c r="AG152" s="26"/>
      <c r="AH152" s="28"/>
      <c r="AI152" s="28"/>
      <c r="AJ152" s="28"/>
      <c r="AK152" s="28"/>
      <c r="AL152" s="28"/>
      <c r="AM152" s="11"/>
      <c r="AN152" s="11"/>
      <c r="AO152" s="11"/>
      <c r="AP152" s="11">
        <f t="shared" si="63"/>
        <v>0</v>
      </c>
      <c r="AQ152" s="11">
        <f t="shared" si="64"/>
        <v>14700.25</v>
      </c>
      <c r="AR152" s="11">
        <f t="shared" si="53"/>
        <v>14700.25</v>
      </c>
      <c r="AS152" s="11"/>
      <c r="AT152" s="11"/>
      <c r="AU152" s="11"/>
      <c r="AV152" s="11"/>
      <c r="AW152" s="11"/>
      <c r="AX152" s="11"/>
      <c r="AY152" s="11">
        <f t="shared" si="50"/>
        <v>14700.25</v>
      </c>
      <c r="AZ152" s="11"/>
      <c r="BA152" s="11">
        <f t="shared" si="65"/>
        <v>14700.25</v>
      </c>
      <c r="BB152" s="11">
        <f t="shared" si="66"/>
        <v>0</v>
      </c>
      <c r="BC152" s="11">
        <f t="shared" si="67"/>
        <v>22050.375</v>
      </c>
      <c r="BD152" s="11">
        <f t="shared" si="68"/>
        <v>0</v>
      </c>
      <c r="BE152" s="8" t="s">
        <v>86</v>
      </c>
    </row>
    <row r="153" spans="1:57" hidden="1">
      <c r="A153" s="29"/>
      <c r="B153" s="22"/>
      <c r="C153" s="24">
        <f t="shared" si="74"/>
        <v>0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>
        <f t="shared" si="71"/>
        <v>0</v>
      </c>
      <c r="P153" s="24"/>
      <c r="Q153" s="24"/>
      <c r="R153" s="29"/>
      <c r="S153" s="29"/>
      <c r="T153" s="29"/>
      <c r="U153" s="29"/>
      <c r="V153" s="29"/>
      <c r="W153" s="29"/>
      <c r="X153" s="29"/>
      <c r="Y153" s="29"/>
      <c r="Z153" s="29"/>
      <c r="AA153" s="26"/>
      <c r="AB153" s="13"/>
      <c r="AC153" s="13">
        <f t="shared" si="52"/>
        <v>0</v>
      </c>
      <c r="AD153" s="13"/>
      <c r="AE153" s="13"/>
      <c r="AF153" s="30"/>
      <c r="AG153" s="13"/>
      <c r="AH153" s="13"/>
      <c r="AI153" s="13"/>
      <c r="AJ153" s="13"/>
      <c r="AK153" s="13"/>
      <c r="AL153" s="13"/>
      <c r="AM153" s="13"/>
      <c r="AN153" s="13"/>
      <c r="AO153" s="13"/>
      <c r="AP153" s="11">
        <f t="shared" si="63"/>
        <v>0</v>
      </c>
      <c r="AQ153" s="11">
        <f t="shared" si="64"/>
        <v>14700.25</v>
      </c>
      <c r="AR153" s="11">
        <f t="shared" si="53"/>
        <v>14700.25</v>
      </c>
      <c r="AS153" s="13"/>
      <c r="AT153" s="13"/>
      <c r="AU153" s="13"/>
      <c r="AV153" s="13"/>
      <c r="AW153" s="13"/>
      <c r="AX153" s="13"/>
      <c r="AY153" s="11">
        <f t="shared" si="50"/>
        <v>14700.25</v>
      </c>
      <c r="AZ153" s="13"/>
      <c r="BA153" s="11">
        <f t="shared" si="65"/>
        <v>14700.25</v>
      </c>
      <c r="BB153" s="11">
        <f t="shared" si="66"/>
        <v>0</v>
      </c>
      <c r="BC153" s="11">
        <f t="shared" si="67"/>
        <v>22050.375</v>
      </c>
      <c r="BD153" s="11">
        <f t="shared" si="68"/>
        <v>0</v>
      </c>
      <c r="BE153" s="8" t="s">
        <v>86</v>
      </c>
    </row>
    <row r="154" spans="1:57" hidden="1">
      <c r="A154" s="93"/>
      <c r="B154" s="14"/>
      <c r="C154" s="24">
        <f t="shared" si="74"/>
        <v>0</v>
      </c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>
        <f t="shared" si="71"/>
        <v>0</v>
      </c>
      <c r="P154" s="24"/>
      <c r="Q154" s="24"/>
      <c r="R154" s="14"/>
      <c r="S154" s="14"/>
      <c r="T154" s="14"/>
      <c r="U154" s="14"/>
      <c r="V154" s="14"/>
      <c r="W154" s="14"/>
      <c r="X154" s="14"/>
      <c r="Y154" s="14"/>
      <c r="Z154" s="14"/>
      <c r="AA154" s="174"/>
      <c r="AB154" s="175"/>
      <c r="AC154" s="13">
        <f t="shared" si="52"/>
        <v>0</v>
      </c>
      <c r="AD154" s="26"/>
      <c r="AE154" s="26"/>
      <c r="AF154" s="27"/>
      <c r="AG154" s="26"/>
      <c r="AH154" s="28"/>
      <c r="AI154" s="28"/>
      <c r="AJ154" s="28"/>
      <c r="AK154" s="28"/>
      <c r="AL154" s="28"/>
      <c r="AM154" s="11"/>
      <c r="AN154" s="11"/>
      <c r="AO154" s="11"/>
      <c r="AP154" s="11">
        <f t="shared" si="63"/>
        <v>0</v>
      </c>
      <c r="AQ154" s="11">
        <f t="shared" si="64"/>
        <v>14700.25</v>
      </c>
      <c r="AR154" s="11">
        <f t="shared" si="53"/>
        <v>14700.25</v>
      </c>
      <c r="AS154" s="11"/>
      <c r="AT154" s="11"/>
      <c r="AU154" s="11"/>
      <c r="AV154" s="11"/>
      <c r="AW154" s="11"/>
      <c r="AX154" s="11"/>
      <c r="AY154" s="11">
        <f t="shared" si="50"/>
        <v>14700.25</v>
      </c>
      <c r="AZ154" s="11"/>
      <c r="BA154" s="11">
        <f t="shared" si="65"/>
        <v>14700.25</v>
      </c>
      <c r="BB154" s="11">
        <f t="shared" si="66"/>
        <v>0</v>
      </c>
      <c r="BC154" s="11">
        <f t="shared" si="67"/>
        <v>22050.375</v>
      </c>
      <c r="BD154" s="11">
        <f t="shared" si="68"/>
        <v>0</v>
      </c>
      <c r="BE154" s="8" t="s">
        <v>86</v>
      </c>
    </row>
    <row r="155" spans="1:57" hidden="1">
      <c r="A155" s="93"/>
      <c r="B155" s="93"/>
      <c r="C155" s="24">
        <f t="shared" si="74"/>
        <v>0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>
        <f t="shared" si="71"/>
        <v>0</v>
      </c>
      <c r="P155" s="24"/>
      <c r="Q155" s="24"/>
      <c r="R155" s="93"/>
      <c r="S155" s="93"/>
      <c r="T155" s="93"/>
      <c r="U155" s="93"/>
      <c r="V155" s="93"/>
      <c r="W155" s="93"/>
      <c r="X155" s="93"/>
      <c r="Y155" s="93"/>
      <c r="Z155" s="93"/>
      <c r="AA155" s="175"/>
      <c r="AB155" s="175"/>
      <c r="AC155" s="13">
        <f t="shared" si="52"/>
        <v>0</v>
      </c>
      <c r="AD155" s="26"/>
      <c r="AE155" s="26"/>
      <c r="AF155" s="27"/>
      <c r="AG155" s="26"/>
      <c r="AH155" s="28"/>
      <c r="AI155" s="28"/>
      <c r="AJ155" s="28"/>
      <c r="AK155" s="28"/>
      <c r="AL155" s="28"/>
      <c r="AM155" s="11"/>
      <c r="AN155" s="11"/>
      <c r="AO155" s="11"/>
      <c r="AP155" s="11">
        <f t="shared" si="63"/>
        <v>0</v>
      </c>
      <c r="AQ155" s="11">
        <f t="shared" si="64"/>
        <v>14700.25</v>
      </c>
      <c r="AR155" s="11">
        <f t="shared" si="53"/>
        <v>14700.25</v>
      </c>
      <c r="AS155" s="11"/>
      <c r="AT155" s="11"/>
      <c r="AU155" s="11"/>
      <c r="AV155" s="11"/>
      <c r="AW155" s="11"/>
      <c r="AX155" s="11"/>
      <c r="AY155" s="11">
        <f t="shared" si="50"/>
        <v>14700.25</v>
      </c>
      <c r="AZ155" s="11"/>
      <c r="BA155" s="11">
        <f t="shared" si="65"/>
        <v>14700.25</v>
      </c>
      <c r="BB155" s="11">
        <f t="shared" si="66"/>
        <v>0</v>
      </c>
      <c r="BC155" s="11">
        <f t="shared" si="67"/>
        <v>22050.375</v>
      </c>
      <c r="BD155" s="11">
        <f t="shared" si="68"/>
        <v>0</v>
      </c>
      <c r="BE155" s="8" t="s">
        <v>86</v>
      </c>
    </row>
    <row r="156" spans="1:57" hidden="1">
      <c r="A156" s="93"/>
      <c r="B156" s="36"/>
      <c r="C156" s="24">
        <f t="shared" si="74"/>
        <v>0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>
        <f t="shared" si="71"/>
        <v>0</v>
      </c>
      <c r="P156" s="24"/>
      <c r="Q156" s="24"/>
      <c r="R156" s="93"/>
      <c r="S156" s="93"/>
      <c r="T156" s="93"/>
      <c r="U156" s="93"/>
      <c r="V156" s="93"/>
      <c r="W156" s="93"/>
      <c r="X156" s="93"/>
      <c r="Y156" s="93"/>
      <c r="Z156" s="93"/>
      <c r="AA156" s="12"/>
      <c r="AB156" s="12"/>
      <c r="AC156" s="13">
        <f t="shared" si="52"/>
        <v>0</v>
      </c>
      <c r="AD156" s="26"/>
      <c r="AE156" s="26"/>
      <c r="AF156" s="27"/>
      <c r="AG156" s="26"/>
      <c r="AH156" s="28"/>
      <c r="AI156" s="28"/>
      <c r="AJ156" s="28"/>
      <c r="AK156" s="28"/>
      <c r="AL156" s="28"/>
      <c r="AM156" s="11"/>
      <c r="AN156" s="11"/>
      <c r="AO156" s="11"/>
      <c r="AP156" s="11">
        <f t="shared" si="63"/>
        <v>0</v>
      </c>
      <c r="AQ156" s="11">
        <f t="shared" si="64"/>
        <v>14700.25</v>
      </c>
      <c r="AR156" s="11">
        <f t="shared" si="53"/>
        <v>14700.25</v>
      </c>
      <c r="AS156" s="11"/>
      <c r="AT156" s="11"/>
      <c r="AU156" s="11"/>
      <c r="AV156" s="11"/>
      <c r="AW156" s="11"/>
      <c r="AX156" s="11"/>
      <c r="AY156" s="11">
        <f t="shared" si="50"/>
        <v>14700.25</v>
      </c>
      <c r="AZ156" s="11"/>
      <c r="BA156" s="11">
        <f t="shared" si="65"/>
        <v>14700.25</v>
      </c>
      <c r="BB156" s="11">
        <f t="shared" si="66"/>
        <v>0</v>
      </c>
      <c r="BC156" s="11">
        <f t="shared" si="67"/>
        <v>22050.375</v>
      </c>
      <c r="BD156" s="11">
        <f t="shared" si="68"/>
        <v>0</v>
      </c>
      <c r="BE156" s="8" t="s">
        <v>86</v>
      </c>
    </row>
    <row r="157" spans="1:57" hidden="1">
      <c r="A157" s="93"/>
      <c r="B157" s="36"/>
      <c r="C157" s="24">
        <f t="shared" si="74"/>
        <v>0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>
        <f t="shared" si="71"/>
        <v>0</v>
      </c>
      <c r="P157" s="24"/>
      <c r="Q157" s="24"/>
      <c r="R157" s="93"/>
      <c r="S157" s="93"/>
      <c r="T157" s="93"/>
      <c r="U157" s="93"/>
      <c r="V157" s="93"/>
      <c r="W157" s="93"/>
      <c r="X157" s="93"/>
      <c r="Y157" s="93"/>
      <c r="Z157" s="93"/>
      <c r="AA157" s="12"/>
      <c r="AB157" s="12"/>
      <c r="AC157" s="13">
        <f t="shared" si="52"/>
        <v>0</v>
      </c>
      <c r="AD157" s="26"/>
      <c r="AE157" s="26"/>
      <c r="AF157" s="27"/>
      <c r="AG157" s="26"/>
      <c r="AH157" s="28"/>
      <c r="AI157" s="28"/>
      <c r="AJ157" s="28"/>
      <c r="AK157" s="28"/>
      <c r="AL157" s="28"/>
      <c r="AM157" s="11"/>
      <c r="AN157" s="11"/>
      <c r="AO157" s="11"/>
      <c r="AP157" s="11">
        <f t="shared" si="63"/>
        <v>0</v>
      </c>
      <c r="AQ157" s="11">
        <f t="shared" si="64"/>
        <v>14700.25</v>
      </c>
      <c r="AR157" s="11">
        <f t="shared" si="53"/>
        <v>14700.25</v>
      </c>
      <c r="AS157" s="11"/>
      <c r="AT157" s="11"/>
      <c r="AU157" s="11"/>
      <c r="AV157" s="11"/>
      <c r="AW157" s="11"/>
      <c r="AX157" s="11"/>
      <c r="AY157" s="11">
        <f t="shared" si="50"/>
        <v>14700.25</v>
      </c>
      <c r="AZ157" s="11"/>
      <c r="BA157" s="11">
        <f t="shared" si="65"/>
        <v>14700.25</v>
      </c>
      <c r="BB157" s="11">
        <f t="shared" si="66"/>
        <v>0</v>
      </c>
      <c r="BC157" s="11">
        <f t="shared" si="67"/>
        <v>22050.375</v>
      </c>
      <c r="BD157" s="11">
        <f t="shared" si="68"/>
        <v>0</v>
      </c>
      <c r="BE157" s="8" t="s">
        <v>86</v>
      </c>
    </row>
    <row r="158" spans="1:57" hidden="1">
      <c r="A158" s="93"/>
      <c r="B158" s="37"/>
      <c r="C158" s="24">
        <f t="shared" si="74"/>
        <v>0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>
        <f t="shared" si="71"/>
        <v>0</v>
      </c>
      <c r="P158" s="24"/>
      <c r="Q158" s="24"/>
      <c r="R158" s="38"/>
      <c r="S158" s="38"/>
      <c r="T158" s="38"/>
      <c r="U158" s="38"/>
      <c r="V158" s="38"/>
      <c r="W158" s="38"/>
      <c r="X158" s="38"/>
      <c r="Y158" s="38"/>
      <c r="Z158" s="38"/>
      <c r="AA158" s="12"/>
      <c r="AB158" s="12"/>
      <c r="AC158" s="13">
        <f t="shared" si="52"/>
        <v>0</v>
      </c>
      <c r="AD158" s="26"/>
      <c r="AE158" s="26"/>
      <c r="AF158" s="27"/>
      <c r="AG158" s="26"/>
      <c r="AH158" s="28"/>
      <c r="AI158" s="28"/>
      <c r="AJ158" s="28"/>
      <c r="AK158" s="28"/>
      <c r="AL158" s="28"/>
      <c r="AM158" s="11"/>
      <c r="AN158" s="11"/>
      <c r="AO158" s="11"/>
      <c r="AP158" s="11">
        <f t="shared" si="63"/>
        <v>0</v>
      </c>
      <c r="AQ158" s="11">
        <f t="shared" si="64"/>
        <v>14700.25</v>
      </c>
      <c r="AR158" s="11">
        <f t="shared" si="53"/>
        <v>14700.25</v>
      </c>
      <c r="AS158" s="11"/>
      <c r="AT158" s="11"/>
      <c r="AU158" s="11"/>
      <c r="AV158" s="11"/>
      <c r="AW158" s="11"/>
      <c r="AX158" s="11"/>
      <c r="AY158" s="11">
        <f t="shared" si="50"/>
        <v>14700.25</v>
      </c>
      <c r="AZ158" s="11"/>
      <c r="BA158" s="11">
        <f t="shared" si="65"/>
        <v>14700.25</v>
      </c>
      <c r="BB158" s="11">
        <f t="shared" si="66"/>
        <v>0</v>
      </c>
      <c r="BC158" s="11">
        <f t="shared" si="67"/>
        <v>22050.375</v>
      </c>
      <c r="BD158" s="11">
        <f t="shared" si="68"/>
        <v>0</v>
      </c>
      <c r="BE158" s="8" t="s">
        <v>86</v>
      </c>
    </row>
    <row r="159" spans="1:57" hidden="1">
      <c r="A159" s="93"/>
      <c r="B159" s="36"/>
      <c r="C159" s="24">
        <f t="shared" si="74"/>
        <v>0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>
        <f t="shared" si="71"/>
        <v>0</v>
      </c>
      <c r="P159" s="24"/>
      <c r="Q159" s="24"/>
      <c r="R159" s="93"/>
      <c r="S159" s="93"/>
      <c r="T159" s="93"/>
      <c r="U159" s="93"/>
      <c r="V159" s="93"/>
      <c r="W159" s="93"/>
      <c r="X159" s="93"/>
      <c r="Y159" s="93"/>
      <c r="Z159" s="93"/>
      <c r="AA159" s="26"/>
      <c r="AB159" s="13"/>
      <c r="AC159" s="13">
        <f t="shared" si="52"/>
        <v>0</v>
      </c>
      <c r="AD159" s="13"/>
      <c r="AE159" s="13"/>
      <c r="AF159" s="30"/>
      <c r="AG159" s="13"/>
      <c r="AH159" s="13"/>
      <c r="AI159" s="13"/>
      <c r="AJ159" s="13"/>
      <c r="AK159" s="13"/>
      <c r="AL159" s="13"/>
      <c r="AM159" s="13"/>
      <c r="AN159" s="13"/>
      <c r="AO159" s="13"/>
      <c r="AP159" s="11">
        <f t="shared" si="63"/>
        <v>0</v>
      </c>
      <c r="AQ159" s="11">
        <f t="shared" si="64"/>
        <v>14700.25</v>
      </c>
      <c r="AR159" s="11">
        <f t="shared" si="53"/>
        <v>14700.25</v>
      </c>
      <c r="AS159" s="13"/>
      <c r="AT159" s="13"/>
      <c r="AU159" s="13"/>
      <c r="AV159" s="13"/>
      <c r="AW159" s="13"/>
      <c r="AX159" s="13"/>
      <c r="AY159" s="11">
        <f t="shared" si="50"/>
        <v>14700.25</v>
      </c>
      <c r="AZ159" s="13"/>
      <c r="BA159" s="11">
        <f t="shared" si="65"/>
        <v>14700.25</v>
      </c>
      <c r="BB159" s="11">
        <f t="shared" si="66"/>
        <v>0</v>
      </c>
      <c r="BC159" s="11">
        <f t="shared" si="67"/>
        <v>22050.375</v>
      </c>
      <c r="BD159" s="11">
        <f t="shared" si="68"/>
        <v>0</v>
      </c>
      <c r="BE159" s="8" t="s">
        <v>86</v>
      </c>
    </row>
    <row r="160" spans="1:57" hidden="1">
      <c r="A160" s="29"/>
      <c r="B160" s="22"/>
      <c r="C160" s="24">
        <f t="shared" si="74"/>
        <v>0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>
        <f t="shared" si="71"/>
        <v>0</v>
      </c>
      <c r="P160" s="24"/>
      <c r="Q160" s="24"/>
      <c r="R160" s="39"/>
      <c r="S160" s="39"/>
      <c r="T160" s="39"/>
      <c r="U160" s="39"/>
      <c r="V160" s="39"/>
      <c r="W160" s="39"/>
      <c r="X160" s="39"/>
      <c r="Y160" s="39"/>
      <c r="Z160" s="39"/>
      <c r="AA160" s="26"/>
      <c r="AB160" s="13"/>
      <c r="AC160" s="13">
        <f t="shared" si="52"/>
        <v>0</v>
      </c>
      <c r="AD160" s="13"/>
      <c r="AE160" s="13"/>
      <c r="AF160" s="30"/>
      <c r="AG160" s="13"/>
      <c r="AH160" s="13"/>
      <c r="AI160" s="13"/>
      <c r="AJ160" s="13"/>
      <c r="AK160" s="13"/>
      <c r="AL160" s="13"/>
      <c r="AM160" s="13"/>
      <c r="AN160" s="13"/>
      <c r="AO160" s="13"/>
      <c r="AP160" s="11">
        <f t="shared" si="63"/>
        <v>0</v>
      </c>
      <c r="AQ160" s="11">
        <f t="shared" si="64"/>
        <v>14700.25</v>
      </c>
      <c r="AR160" s="11">
        <f t="shared" si="53"/>
        <v>14700.25</v>
      </c>
      <c r="AS160" s="13"/>
      <c r="AT160" s="13"/>
      <c r="AU160" s="13"/>
      <c r="AV160" s="13"/>
      <c r="AW160" s="13"/>
      <c r="AX160" s="13"/>
      <c r="AY160" s="11">
        <f t="shared" si="50"/>
        <v>14700.25</v>
      </c>
      <c r="AZ160" s="13"/>
      <c r="BA160" s="11">
        <f t="shared" si="65"/>
        <v>14700.25</v>
      </c>
      <c r="BB160" s="11">
        <f t="shared" si="66"/>
        <v>0</v>
      </c>
      <c r="BC160" s="11">
        <f t="shared" si="67"/>
        <v>22050.375</v>
      </c>
      <c r="BD160" s="11">
        <f t="shared" si="68"/>
        <v>0</v>
      </c>
      <c r="BE160" s="8" t="s">
        <v>86</v>
      </c>
    </row>
    <row r="161" spans="1:57" hidden="1">
      <c r="A161" s="23"/>
      <c r="B161" s="32"/>
      <c r="C161" s="24">
        <f t="shared" si="74"/>
        <v>0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>
        <f t="shared" si="71"/>
        <v>0</v>
      </c>
      <c r="P161" s="24"/>
      <c r="Q161" s="24"/>
      <c r="R161" s="32"/>
      <c r="S161" s="32"/>
      <c r="T161" s="32"/>
      <c r="U161" s="32"/>
      <c r="V161" s="32"/>
      <c r="W161" s="32"/>
      <c r="X161" s="32"/>
      <c r="Y161" s="32"/>
      <c r="Z161" s="32"/>
      <c r="AA161" s="12"/>
      <c r="AB161" s="13"/>
      <c r="AC161" s="13">
        <f t="shared" si="52"/>
        <v>0</v>
      </c>
      <c r="AD161" s="26"/>
      <c r="AE161" s="26"/>
      <c r="AF161" s="27"/>
      <c r="AG161" s="26"/>
      <c r="AH161" s="28"/>
      <c r="AI161" s="28"/>
      <c r="AJ161" s="28"/>
      <c r="AK161" s="28"/>
      <c r="AL161" s="28"/>
      <c r="AM161" s="11"/>
      <c r="AN161" s="11"/>
      <c r="AO161" s="11"/>
      <c r="AP161" s="11">
        <f t="shared" si="63"/>
        <v>0</v>
      </c>
      <c r="AQ161" s="11">
        <f t="shared" si="64"/>
        <v>14700.25</v>
      </c>
      <c r="AR161" s="11">
        <f t="shared" si="53"/>
        <v>14700.25</v>
      </c>
      <c r="AS161" s="11"/>
      <c r="AT161" s="11"/>
      <c r="AU161" s="11"/>
      <c r="AV161" s="11"/>
      <c r="AW161" s="11"/>
      <c r="AX161" s="11"/>
      <c r="AY161" s="11">
        <f t="shared" si="50"/>
        <v>14700.25</v>
      </c>
      <c r="AZ161" s="11"/>
      <c r="BA161" s="11">
        <f t="shared" si="65"/>
        <v>14700.25</v>
      </c>
      <c r="BB161" s="11">
        <f t="shared" si="66"/>
        <v>0</v>
      </c>
      <c r="BC161" s="11">
        <f t="shared" si="67"/>
        <v>22050.375</v>
      </c>
      <c r="BD161" s="11">
        <f t="shared" si="68"/>
        <v>0</v>
      </c>
      <c r="BE161" s="8" t="s">
        <v>86</v>
      </c>
    </row>
    <row r="162" spans="1:57" hidden="1">
      <c r="A162" s="93"/>
      <c r="B162" s="14"/>
      <c r="C162" s="24">
        <f t="shared" si="74"/>
        <v>0</v>
      </c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>
        <f t="shared" si="71"/>
        <v>0</v>
      </c>
      <c r="P162" s="24"/>
      <c r="Q162" s="24"/>
      <c r="R162" s="14"/>
      <c r="S162" s="14"/>
      <c r="T162" s="14"/>
      <c r="U162" s="14"/>
      <c r="V162" s="14"/>
      <c r="W162" s="14"/>
      <c r="X162" s="14"/>
      <c r="Y162" s="14"/>
      <c r="Z162" s="14"/>
      <c r="AA162" s="174"/>
      <c r="AB162" s="175"/>
      <c r="AC162" s="13">
        <f t="shared" si="52"/>
        <v>0</v>
      </c>
      <c r="AD162" s="26"/>
      <c r="AE162" s="26"/>
      <c r="AF162" s="27"/>
      <c r="AG162" s="26"/>
      <c r="AH162" s="28"/>
      <c r="AI162" s="28"/>
      <c r="AJ162" s="28"/>
      <c r="AK162" s="28"/>
      <c r="AL162" s="28"/>
      <c r="AM162" s="11"/>
      <c r="AN162" s="11"/>
      <c r="AO162" s="11"/>
      <c r="AP162" s="11">
        <f t="shared" si="63"/>
        <v>0</v>
      </c>
      <c r="AQ162" s="11">
        <f t="shared" si="64"/>
        <v>14700.25</v>
      </c>
      <c r="AR162" s="11">
        <f t="shared" si="53"/>
        <v>14700.25</v>
      </c>
      <c r="AS162" s="11"/>
      <c r="AT162" s="11"/>
      <c r="AU162" s="11"/>
      <c r="AV162" s="11"/>
      <c r="AW162" s="11"/>
      <c r="AX162" s="11"/>
      <c r="AY162" s="11">
        <f t="shared" si="50"/>
        <v>14700.25</v>
      </c>
      <c r="AZ162" s="11"/>
      <c r="BA162" s="11">
        <f t="shared" si="65"/>
        <v>14700.25</v>
      </c>
      <c r="BB162" s="11">
        <f t="shared" si="66"/>
        <v>0</v>
      </c>
      <c r="BC162" s="11">
        <f t="shared" si="67"/>
        <v>22050.375</v>
      </c>
      <c r="BD162" s="11">
        <f t="shared" si="68"/>
        <v>0</v>
      </c>
      <c r="BE162" s="8" t="s">
        <v>86</v>
      </c>
    </row>
    <row r="163" spans="1:57" hidden="1">
      <c r="A163" s="23"/>
      <c r="B163" s="32"/>
      <c r="C163" s="24">
        <f t="shared" si="74"/>
        <v>0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>
        <f t="shared" si="71"/>
        <v>0</v>
      </c>
      <c r="P163" s="24"/>
      <c r="Q163" s="24"/>
      <c r="R163" s="32"/>
      <c r="S163" s="32"/>
      <c r="T163" s="32"/>
      <c r="U163" s="32"/>
      <c r="V163" s="32"/>
      <c r="W163" s="32"/>
      <c r="X163" s="32"/>
      <c r="Y163" s="32"/>
      <c r="Z163" s="32"/>
      <c r="AA163" s="12"/>
      <c r="AB163" s="33"/>
      <c r="AC163" s="13">
        <f t="shared" si="52"/>
        <v>0</v>
      </c>
      <c r="AD163" s="26"/>
      <c r="AE163" s="26"/>
      <c r="AF163" s="27"/>
      <c r="AG163" s="26"/>
      <c r="AH163" s="28"/>
      <c r="AI163" s="28"/>
      <c r="AJ163" s="28"/>
      <c r="AK163" s="28"/>
      <c r="AL163" s="28"/>
      <c r="AM163" s="11"/>
      <c r="AN163" s="11"/>
      <c r="AO163" s="11"/>
      <c r="AP163" s="11">
        <f t="shared" si="63"/>
        <v>0</v>
      </c>
      <c r="AQ163" s="11">
        <f t="shared" si="64"/>
        <v>14700.25</v>
      </c>
      <c r="AR163" s="11">
        <f t="shared" si="53"/>
        <v>14700.25</v>
      </c>
      <c r="AS163" s="11"/>
      <c r="AT163" s="11"/>
      <c r="AU163" s="11"/>
      <c r="AV163" s="11"/>
      <c r="AW163" s="11"/>
      <c r="AX163" s="11"/>
      <c r="AY163" s="11">
        <f>SUBTOTAL(9,AR163:AX163)</f>
        <v>14700.25</v>
      </c>
      <c r="AZ163" s="11"/>
      <c r="BA163" s="11">
        <f t="shared" si="65"/>
        <v>14700.25</v>
      </c>
      <c r="BB163" s="11">
        <f t="shared" si="66"/>
        <v>0</v>
      </c>
      <c r="BC163" s="11">
        <f t="shared" si="67"/>
        <v>22050.375</v>
      </c>
      <c r="BD163" s="11">
        <f t="shared" si="68"/>
        <v>0</v>
      </c>
      <c r="BE163" s="8" t="s">
        <v>86</v>
      </c>
    </row>
    <row r="164" spans="1:57" hidden="1">
      <c r="A164" s="29"/>
      <c r="B164" s="35"/>
      <c r="C164" s="24">
        <f t="shared" si="74"/>
        <v>0</v>
      </c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>
        <f t="shared" si="71"/>
        <v>0</v>
      </c>
      <c r="P164" s="24"/>
      <c r="Q164" s="24"/>
      <c r="R164" s="29"/>
      <c r="S164" s="29"/>
      <c r="T164" s="29"/>
      <c r="U164" s="29"/>
      <c r="V164" s="29"/>
      <c r="W164" s="29"/>
      <c r="X164" s="29"/>
      <c r="Y164" s="29"/>
      <c r="Z164" s="29"/>
      <c r="AA164" s="12"/>
      <c r="AB164" s="12"/>
      <c r="AC164" s="13">
        <f>SUM(AA164:AB164)</f>
        <v>0</v>
      </c>
      <c r="AD164" s="26"/>
      <c r="AE164" s="26"/>
      <c r="AF164" s="27"/>
      <c r="AG164" s="26"/>
      <c r="AH164" s="28"/>
      <c r="AI164" s="28"/>
      <c r="AJ164" s="28"/>
      <c r="AK164" s="28"/>
      <c r="AL164" s="28"/>
      <c r="AM164" s="11"/>
      <c r="AN164" s="11"/>
      <c r="AO164" s="11"/>
      <c r="AP164" s="11">
        <f t="shared" si="63"/>
        <v>0</v>
      </c>
      <c r="AQ164" s="11">
        <f t="shared" si="64"/>
        <v>14700.25</v>
      </c>
      <c r="AR164" s="11">
        <f>AP164+AQ164</f>
        <v>14700.25</v>
      </c>
      <c r="AS164" s="11"/>
      <c r="AT164" s="11"/>
      <c r="AU164" s="11"/>
      <c r="AV164" s="11"/>
      <c r="AW164" s="11"/>
      <c r="AX164" s="11"/>
      <c r="AY164" s="11">
        <f>SUBTOTAL(9,AR164:AX164)</f>
        <v>14700.25</v>
      </c>
      <c r="AZ164" s="11"/>
      <c r="BA164" s="11">
        <f t="shared" si="65"/>
        <v>14700.25</v>
      </c>
      <c r="BB164" s="11">
        <f t="shared" si="66"/>
        <v>0</v>
      </c>
      <c r="BC164" s="11">
        <f t="shared" si="67"/>
        <v>22050.375</v>
      </c>
      <c r="BD164" s="11">
        <f t="shared" si="68"/>
        <v>0</v>
      </c>
      <c r="BE164" s="8" t="s">
        <v>86</v>
      </c>
    </row>
    <row r="165" spans="1:57" hidden="1">
      <c r="A165" s="29"/>
      <c r="B165" s="22"/>
      <c r="C165" s="24">
        <f t="shared" ref="C165:C166" si="75">SUM(D165:N165)</f>
        <v>0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>
        <f t="shared" si="71"/>
        <v>0</v>
      </c>
      <c r="P165" s="24"/>
      <c r="Q165" s="24"/>
      <c r="R165" s="29"/>
      <c r="S165" s="29"/>
      <c r="T165" s="29"/>
      <c r="U165" s="29"/>
      <c r="V165" s="29"/>
      <c r="W165" s="29"/>
      <c r="X165" s="29"/>
      <c r="Y165" s="29"/>
      <c r="Z165" s="29"/>
      <c r="AA165" s="26"/>
      <c r="AB165" s="13"/>
      <c r="AC165" s="13"/>
      <c r="AD165" s="13"/>
      <c r="AE165" s="13"/>
      <c r="AF165" s="30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8" t="s">
        <v>86</v>
      </c>
    </row>
    <row r="166" spans="1:57" hidden="1">
      <c r="A166" s="29"/>
      <c r="B166" s="22"/>
      <c r="C166" s="24">
        <f t="shared" si="75"/>
        <v>0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>
        <f t="shared" si="71"/>
        <v>0</v>
      </c>
      <c r="P166" s="24"/>
      <c r="Q166" s="24"/>
      <c r="R166" s="29"/>
      <c r="S166" s="29"/>
      <c r="T166" s="29"/>
      <c r="U166" s="29"/>
      <c r="V166" s="29"/>
      <c r="W166" s="29"/>
      <c r="X166" s="29"/>
      <c r="Y166" s="29"/>
      <c r="Z166" s="29"/>
      <c r="AA166" s="26"/>
      <c r="AB166" s="13"/>
      <c r="AC166" s="13"/>
      <c r="AD166" s="13"/>
      <c r="AE166" s="13"/>
      <c r="AF166" s="30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8" t="s">
        <v>86</v>
      </c>
    </row>
    <row r="167" spans="1:57">
      <c r="A167" s="521" t="s">
        <v>164</v>
      </c>
      <c r="B167" s="522"/>
      <c r="C167" s="39">
        <f>SUM(C33:C166)</f>
        <v>92</v>
      </c>
      <c r="D167" s="39">
        <f t="shared" ref="D167:U167" si="76">SUM(D33:D166)</f>
        <v>24</v>
      </c>
      <c r="E167" s="39">
        <f t="shared" si="76"/>
        <v>67.5</v>
      </c>
      <c r="F167" s="39">
        <f t="shared" si="76"/>
        <v>0</v>
      </c>
      <c r="G167" s="39">
        <f t="shared" si="76"/>
        <v>0</v>
      </c>
      <c r="H167" s="39">
        <f t="shared" si="76"/>
        <v>0</v>
      </c>
      <c r="I167" s="39">
        <f t="shared" si="76"/>
        <v>0</v>
      </c>
      <c r="J167" s="39">
        <f t="shared" si="76"/>
        <v>0</v>
      </c>
      <c r="K167" s="39">
        <f t="shared" si="76"/>
        <v>0</v>
      </c>
      <c r="L167" s="39">
        <f t="shared" si="76"/>
        <v>0</v>
      </c>
      <c r="M167" s="39">
        <f t="shared" si="76"/>
        <v>0</v>
      </c>
      <c r="N167" s="39">
        <f t="shared" si="76"/>
        <v>0</v>
      </c>
      <c r="O167" s="39">
        <f t="shared" si="76"/>
        <v>99.5</v>
      </c>
      <c r="P167" s="39">
        <f t="shared" si="76"/>
        <v>26.5</v>
      </c>
      <c r="Q167" s="39">
        <f t="shared" si="76"/>
        <v>73</v>
      </c>
      <c r="R167" s="39">
        <f t="shared" si="76"/>
        <v>0</v>
      </c>
      <c r="S167" s="39">
        <f t="shared" si="76"/>
        <v>0</v>
      </c>
      <c r="T167" s="39">
        <f t="shared" si="76"/>
        <v>0</v>
      </c>
      <c r="U167" s="39">
        <f t="shared" si="76"/>
        <v>0</v>
      </c>
      <c r="V167" s="39"/>
      <c r="W167" s="39"/>
      <c r="X167" s="39"/>
      <c r="Y167" s="39"/>
      <c r="Z167" s="39"/>
      <c r="AA167" s="26">
        <f>C167-O167</f>
        <v>-7.5</v>
      </c>
      <c r="AB167" s="13" t="s">
        <v>6</v>
      </c>
      <c r="AC167" s="13" t="s">
        <v>6</v>
      </c>
      <c r="AD167" s="13" t="s">
        <v>6</v>
      </c>
      <c r="AE167" s="13" t="s">
        <v>6</v>
      </c>
      <c r="AF167" s="30" t="s">
        <v>6</v>
      </c>
      <c r="AG167" s="13" t="s">
        <v>6</v>
      </c>
      <c r="AH167" s="13" t="s">
        <v>6</v>
      </c>
      <c r="AI167" s="13" t="s">
        <v>6</v>
      </c>
      <c r="AJ167" s="13" t="s">
        <v>6</v>
      </c>
      <c r="AK167" s="13" t="s">
        <v>6</v>
      </c>
      <c r="AL167" s="13" t="s">
        <v>6</v>
      </c>
      <c r="AM167" s="13" t="s">
        <v>6</v>
      </c>
      <c r="AN167" s="13" t="s">
        <v>6</v>
      </c>
      <c r="AO167" s="13" t="s">
        <v>6</v>
      </c>
      <c r="AP167" s="13" t="s">
        <v>6</v>
      </c>
      <c r="AQ167" s="13" t="s">
        <v>6</v>
      </c>
      <c r="AR167" s="13" t="s">
        <v>6</v>
      </c>
      <c r="AS167" s="13" t="s">
        <v>6</v>
      </c>
      <c r="AT167" s="13" t="s">
        <v>6</v>
      </c>
      <c r="AU167" s="13" t="s">
        <v>6</v>
      </c>
      <c r="AV167" s="13" t="s">
        <v>6</v>
      </c>
      <c r="AW167" s="13" t="s">
        <v>6</v>
      </c>
      <c r="AX167" s="13" t="s">
        <v>6</v>
      </c>
      <c r="AY167" s="13" t="s">
        <v>6</v>
      </c>
      <c r="AZ167" s="13" t="s">
        <v>6</v>
      </c>
      <c r="BA167" s="13" t="s">
        <v>6</v>
      </c>
      <c r="BB167" s="13" t="s">
        <v>6</v>
      </c>
      <c r="BC167" s="13" t="s">
        <v>6</v>
      </c>
      <c r="BD167" s="40">
        <f>SUM(BD33:BD166)</f>
        <v>41881327.979999997</v>
      </c>
      <c r="BE167" s="8" t="s">
        <v>86</v>
      </c>
    </row>
    <row r="168" spans="1:57">
      <c r="A168" s="2"/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5"/>
      <c r="AB168" s="5"/>
      <c r="AC168" s="6"/>
      <c r="AD168" s="2"/>
      <c r="AE168" s="2"/>
      <c r="AF168" s="7"/>
      <c r="AG168" s="2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 t="s">
        <v>86</v>
      </c>
    </row>
    <row r="169" spans="1:57">
      <c r="A169" s="521" t="s">
        <v>87</v>
      </c>
      <c r="B169" s="522"/>
      <c r="C169" s="39">
        <f>SUM(C35:C36)</f>
        <v>2</v>
      </c>
      <c r="D169" s="39">
        <f t="shared" ref="D169:U169" si="77">SUM(D35:D36)</f>
        <v>2</v>
      </c>
      <c r="E169" s="39">
        <f t="shared" si="77"/>
        <v>0</v>
      </c>
      <c r="F169" s="39">
        <f t="shared" si="77"/>
        <v>0</v>
      </c>
      <c r="G169" s="39">
        <f t="shared" si="77"/>
        <v>0</v>
      </c>
      <c r="H169" s="39">
        <f t="shared" si="77"/>
        <v>0</v>
      </c>
      <c r="I169" s="39">
        <f t="shared" si="77"/>
        <v>0</v>
      </c>
      <c r="J169" s="39">
        <f t="shared" si="77"/>
        <v>0</v>
      </c>
      <c r="K169" s="39">
        <f t="shared" si="77"/>
        <v>0</v>
      </c>
      <c r="L169" s="39">
        <f t="shared" si="77"/>
        <v>0</v>
      </c>
      <c r="M169" s="39">
        <f t="shared" si="77"/>
        <v>0</v>
      </c>
      <c r="N169" s="39">
        <f t="shared" si="77"/>
        <v>0</v>
      </c>
      <c r="O169" s="39">
        <f t="shared" si="77"/>
        <v>2</v>
      </c>
      <c r="P169" s="39">
        <f t="shared" si="77"/>
        <v>2</v>
      </c>
      <c r="Q169" s="39">
        <f t="shared" si="77"/>
        <v>0</v>
      </c>
      <c r="R169" s="39">
        <f t="shared" si="77"/>
        <v>0</v>
      </c>
      <c r="S169" s="39">
        <f t="shared" si="77"/>
        <v>0</v>
      </c>
      <c r="T169" s="39">
        <f t="shared" si="77"/>
        <v>0</v>
      </c>
      <c r="U169" s="39">
        <f t="shared" si="77"/>
        <v>0</v>
      </c>
      <c r="V169" s="39"/>
      <c r="W169" s="39"/>
      <c r="X169" s="39"/>
      <c r="Y169" s="39"/>
      <c r="Z169" s="39"/>
      <c r="AA169" s="26">
        <f>C169-O169</f>
        <v>0</v>
      </c>
      <c r="AB169" s="13" t="s">
        <v>6</v>
      </c>
      <c r="AC169" s="13" t="s">
        <v>6</v>
      </c>
      <c r="AD169" s="13" t="s">
        <v>6</v>
      </c>
      <c r="AE169" s="13" t="s">
        <v>6</v>
      </c>
      <c r="AF169" s="30" t="s">
        <v>6</v>
      </c>
      <c r="AG169" s="13" t="s">
        <v>6</v>
      </c>
      <c r="AH169" s="13" t="s">
        <v>6</v>
      </c>
      <c r="AI169" s="13" t="s">
        <v>6</v>
      </c>
      <c r="AJ169" s="13" t="s">
        <v>6</v>
      </c>
      <c r="AK169" s="13" t="s">
        <v>6</v>
      </c>
      <c r="AL169" s="13" t="s">
        <v>6</v>
      </c>
      <c r="AM169" s="13" t="s">
        <v>6</v>
      </c>
      <c r="AN169" s="13" t="s">
        <v>6</v>
      </c>
      <c r="AO169" s="13" t="s">
        <v>6</v>
      </c>
      <c r="AP169" s="13" t="s">
        <v>6</v>
      </c>
      <c r="AQ169" s="13" t="s">
        <v>6</v>
      </c>
      <c r="AR169" s="13" t="s">
        <v>6</v>
      </c>
      <c r="AS169" s="13" t="s">
        <v>6</v>
      </c>
      <c r="AT169" s="13" t="s">
        <v>6</v>
      </c>
      <c r="AU169" s="13" t="s">
        <v>6</v>
      </c>
      <c r="AV169" s="13" t="s">
        <v>6</v>
      </c>
      <c r="AW169" s="13" t="s">
        <v>6</v>
      </c>
      <c r="AX169" s="13" t="s">
        <v>6</v>
      </c>
      <c r="AY169" s="13" t="s">
        <v>6</v>
      </c>
      <c r="AZ169" s="13" t="s">
        <v>6</v>
      </c>
      <c r="BA169" s="13" t="s">
        <v>6</v>
      </c>
      <c r="BB169" s="13" t="s">
        <v>6</v>
      </c>
      <c r="BC169" s="13" t="s">
        <v>6</v>
      </c>
      <c r="BD169" s="40">
        <f>SUM(BD35:BD36)</f>
        <v>2394000</v>
      </c>
      <c r="BE169" s="8" t="s">
        <v>86</v>
      </c>
    </row>
    <row r="170" spans="1:57">
      <c r="A170" s="2"/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5"/>
      <c r="AB170" s="5"/>
      <c r="AC170" s="6"/>
      <c r="AD170" s="2"/>
      <c r="AE170" s="2"/>
      <c r="AF170" s="7"/>
      <c r="AG170" s="2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6"/>
      <c r="BE170" s="8" t="s">
        <v>86</v>
      </c>
    </row>
    <row r="171" spans="1:57">
      <c r="A171" s="521" t="s">
        <v>88</v>
      </c>
      <c r="B171" s="522"/>
      <c r="C171" s="39">
        <f>C167-C169</f>
        <v>90</v>
      </c>
      <c r="D171" s="39">
        <f t="shared" ref="D171:U171" si="78">D167-D169</f>
        <v>22</v>
      </c>
      <c r="E171" s="39">
        <f t="shared" si="78"/>
        <v>67.5</v>
      </c>
      <c r="F171" s="39">
        <f t="shared" si="78"/>
        <v>0</v>
      </c>
      <c r="G171" s="39">
        <f t="shared" si="78"/>
        <v>0</v>
      </c>
      <c r="H171" s="39">
        <f t="shared" si="78"/>
        <v>0</v>
      </c>
      <c r="I171" s="39">
        <f t="shared" si="78"/>
        <v>0</v>
      </c>
      <c r="J171" s="39">
        <f t="shared" si="78"/>
        <v>0</v>
      </c>
      <c r="K171" s="39">
        <f t="shared" si="78"/>
        <v>0</v>
      </c>
      <c r="L171" s="39">
        <f t="shared" si="78"/>
        <v>0</v>
      </c>
      <c r="M171" s="39">
        <f t="shared" si="78"/>
        <v>0</v>
      </c>
      <c r="N171" s="39">
        <f t="shared" si="78"/>
        <v>0</v>
      </c>
      <c r="O171" s="39">
        <f t="shared" si="78"/>
        <v>97.5</v>
      </c>
      <c r="P171" s="39">
        <f t="shared" si="78"/>
        <v>24.5</v>
      </c>
      <c r="Q171" s="39">
        <f t="shared" si="78"/>
        <v>73</v>
      </c>
      <c r="R171" s="39">
        <f t="shared" si="78"/>
        <v>0</v>
      </c>
      <c r="S171" s="39">
        <f t="shared" si="78"/>
        <v>0</v>
      </c>
      <c r="T171" s="39">
        <f t="shared" si="78"/>
        <v>0</v>
      </c>
      <c r="U171" s="39">
        <f t="shared" si="78"/>
        <v>0</v>
      </c>
      <c r="V171" s="39"/>
      <c r="W171" s="39"/>
      <c r="X171" s="39"/>
      <c r="Y171" s="39"/>
      <c r="Z171" s="39"/>
      <c r="AA171" s="26">
        <f>C171-O171</f>
        <v>-7.5</v>
      </c>
      <c r="AB171" s="13" t="s">
        <v>6</v>
      </c>
      <c r="AC171" s="13" t="s">
        <v>6</v>
      </c>
      <c r="AD171" s="13" t="s">
        <v>6</v>
      </c>
      <c r="AE171" s="13" t="s">
        <v>6</v>
      </c>
      <c r="AF171" s="30" t="s">
        <v>6</v>
      </c>
      <c r="AG171" s="13" t="s">
        <v>6</v>
      </c>
      <c r="AH171" s="13" t="s">
        <v>6</v>
      </c>
      <c r="AI171" s="13" t="s">
        <v>6</v>
      </c>
      <c r="AJ171" s="13" t="s">
        <v>6</v>
      </c>
      <c r="AK171" s="13" t="s">
        <v>6</v>
      </c>
      <c r="AL171" s="13" t="s">
        <v>6</v>
      </c>
      <c r="AM171" s="13" t="s">
        <v>6</v>
      </c>
      <c r="AN171" s="13" t="s">
        <v>6</v>
      </c>
      <c r="AO171" s="13" t="s">
        <v>6</v>
      </c>
      <c r="AP171" s="13" t="s">
        <v>6</v>
      </c>
      <c r="AQ171" s="13" t="s">
        <v>6</v>
      </c>
      <c r="AR171" s="13" t="s">
        <v>6</v>
      </c>
      <c r="AS171" s="13" t="s">
        <v>6</v>
      </c>
      <c r="AT171" s="13" t="s">
        <v>6</v>
      </c>
      <c r="AU171" s="13" t="s">
        <v>6</v>
      </c>
      <c r="AV171" s="13" t="s">
        <v>6</v>
      </c>
      <c r="AW171" s="13" t="s">
        <v>6</v>
      </c>
      <c r="AX171" s="13" t="s">
        <v>6</v>
      </c>
      <c r="AY171" s="13" t="s">
        <v>6</v>
      </c>
      <c r="AZ171" s="13" t="s">
        <v>6</v>
      </c>
      <c r="BA171" s="13" t="s">
        <v>6</v>
      </c>
      <c r="BB171" s="13" t="s">
        <v>6</v>
      </c>
      <c r="BC171" s="13" t="s">
        <v>6</v>
      </c>
      <c r="BD171" s="40">
        <f>BD167-BD169</f>
        <v>39487327.979999997</v>
      </c>
      <c r="BE171" s="8" t="s">
        <v>86</v>
      </c>
    </row>
    <row r="172" spans="1:57">
      <c r="A172" s="2"/>
      <c r="B172" s="8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5"/>
      <c r="AB172" s="5"/>
      <c r="AC172" s="6"/>
      <c r="AD172" s="2"/>
      <c r="AE172" s="2"/>
      <c r="AF172" s="7"/>
      <c r="AG172" s="2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</row>
    <row r="173" spans="1:57">
      <c r="A173" s="2"/>
      <c r="B173" s="8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5"/>
      <c r="AB173" s="5"/>
      <c r="AC173" s="6"/>
      <c r="AD173" s="2"/>
      <c r="AE173" s="2"/>
      <c r="AF173" s="7"/>
      <c r="AG173" s="2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</row>
    <row r="174" spans="1:57">
      <c r="A174" s="2"/>
      <c r="B174" s="8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2"/>
      <c r="P174" s="3" t="s">
        <v>454</v>
      </c>
      <c r="Q174" s="2" t="s">
        <v>470</v>
      </c>
      <c r="R174" s="118">
        <f t="shared" ref="R174:R188" si="79">SUMIF($A$35:$A$166,$Q174,C$35:C$166)</f>
        <v>0</v>
      </c>
      <c r="S174" s="118">
        <f t="shared" ref="S174:S188" si="80">SUMIF($A$35:$A$166,$Q174,D$35:D$166)</f>
        <v>0</v>
      </c>
      <c r="T174" s="118">
        <f t="shared" ref="T174:T188" si="81">SUMIF($A$35:$A$166,$Q174,E$35:E$166)</f>
        <v>0</v>
      </c>
      <c r="U174" s="118">
        <f t="shared" ref="U174:U188" si="82">SUMIF($A$35:$A$166,$Q174,F$35:F$166)</f>
        <v>0</v>
      </c>
      <c r="V174" s="118">
        <f t="shared" ref="V174:V188" si="83">SUMIF($A$35:$A$166,$Q174,G$35:G$166)</f>
        <v>0</v>
      </c>
      <c r="W174" s="118">
        <f t="shared" ref="W174:W188" si="84">SUMIF($A$35:$A$166,$Q174,H$35:H$166)</f>
        <v>0</v>
      </c>
      <c r="X174" s="118">
        <f t="shared" ref="X174:X188" si="85">SUMIF($A$35:$A$166,$Q174,I$35:I$166)</f>
        <v>0</v>
      </c>
      <c r="Y174" s="118">
        <f t="shared" ref="Y174:Y188" si="86">SUMIF($A$35:$A$166,$Q174,J$35:J$166)</f>
        <v>0</v>
      </c>
      <c r="Z174" s="118">
        <f t="shared" ref="Z174:Z188" si="87">SUMIF($A$35:$A$166,$Q174,K$35:K$166)</f>
        <v>0</v>
      </c>
      <c r="AA174" s="118">
        <f t="shared" ref="AA174:AA188" si="88">SUMIF($A$35:$A$166,$Q174,L$35:L$166)</f>
        <v>0</v>
      </c>
      <c r="AB174" s="118">
        <f t="shared" ref="AB174:AB188" si="89">SUMIF($A$35:$A$166,$Q174,M$35:M$166)</f>
        <v>0</v>
      </c>
      <c r="AC174" s="118">
        <f t="shared" ref="AC174:AC188" si="90">SUMIF($A$35:$A$166,$Q174,N$35:N$166)</f>
        <v>0</v>
      </c>
      <c r="AD174" s="119"/>
      <c r="AE174" s="116">
        <f t="shared" ref="AE174:AP188" si="91">$AD174*R174*12/1000</f>
        <v>0</v>
      </c>
      <c r="AF174" s="116">
        <f t="shared" si="91"/>
        <v>0</v>
      </c>
      <c r="AG174" s="116">
        <f t="shared" si="91"/>
        <v>0</v>
      </c>
      <c r="AH174" s="116">
        <f t="shared" si="91"/>
        <v>0</v>
      </c>
      <c r="AI174" s="116">
        <f t="shared" si="91"/>
        <v>0</v>
      </c>
      <c r="AJ174" s="116">
        <f t="shared" si="91"/>
        <v>0</v>
      </c>
      <c r="AK174" s="116">
        <f t="shared" si="91"/>
        <v>0</v>
      </c>
      <c r="AL174" s="116">
        <f t="shared" si="91"/>
        <v>0</v>
      </c>
      <c r="AM174" s="116">
        <f t="shared" si="91"/>
        <v>0</v>
      </c>
      <c r="AN174" s="116">
        <f t="shared" si="91"/>
        <v>0</v>
      </c>
      <c r="AO174" s="116">
        <f t="shared" si="91"/>
        <v>0</v>
      </c>
      <c r="AP174" s="116">
        <f t="shared" si="91"/>
        <v>0</v>
      </c>
      <c r="AQ174" s="117">
        <f t="shared" ref="AQ174:AQ188" si="92">IFERROR(AE174*1000/12/(1+BC$31)/R174,0)</f>
        <v>0</v>
      </c>
      <c r="AR174" s="118">
        <f t="shared" ref="AR174:AR188" si="93">SUMIF($A$35:$A$166,$Q174,O$35:O$166)</f>
        <v>0</v>
      </c>
      <c r="AS174" s="118">
        <f t="shared" ref="AS174:AS188" si="94">SUMIF($A$35:$A$166,$Q174,P$35:P$166)</f>
        <v>0</v>
      </c>
      <c r="AT174" s="118">
        <f t="shared" ref="AT174:AT188" si="95">SUMIF($A$35:$A$166,$Q174,Q$35:Q$166)</f>
        <v>0</v>
      </c>
      <c r="AU174" s="118">
        <f t="shared" ref="AU174:AU188" si="96">SUMIF($A$35:$A$166,$Q174,R$35:R$166)</f>
        <v>0</v>
      </c>
      <c r="AV174" s="118">
        <f t="shared" ref="AV174:AV188" si="97">SUMIF($A$35:$A$166,$Q174,S$35:S$166)</f>
        <v>0</v>
      </c>
      <c r="AW174" s="118">
        <f t="shared" ref="AW174:AW188" si="98">SUMIF($A$35:$A$166,$Q174,T$35:T$166)</f>
        <v>0</v>
      </c>
      <c r="AX174" s="118">
        <f t="shared" ref="AX174:AX188" si="99">SUMIF($A$35:$A$166,$Q174,U$35:U$166)</f>
        <v>0</v>
      </c>
      <c r="AY174" s="118">
        <f t="shared" ref="AY174:AY188" si="100">SUMIF($A$35:$A$166,$Q174,V$35:V$166)</f>
        <v>0</v>
      </c>
      <c r="AZ174" s="118">
        <f t="shared" ref="AZ174:AZ188" si="101">SUMIF($A$35:$A$166,$Q174,W$35:W$166)</f>
        <v>0</v>
      </c>
      <c r="BA174" s="118">
        <f t="shared" ref="BA174:BA188" si="102">SUMIF($A$35:$A$166,$Q174,X$35:X$166)</f>
        <v>0</v>
      </c>
      <c r="BB174" s="118">
        <f t="shared" ref="BB174:BB188" si="103">SUMIF($A$35:$A$166,$Q174,Y$35:Y$166)</f>
        <v>0</v>
      </c>
      <c r="BC174" s="118">
        <f t="shared" ref="BC174:BC188" si="104">SUMIF($A$35:$A$166,$Q174,Z$35:Z$166)</f>
        <v>0</v>
      </c>
      <c r="BD174" s="8"/>
      <c r="BE174" s="8"/>
    </row>
    <row r="175" spans="1:57">
      <c r="A175" s="2"/>
      <c r="B175" s="8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2"/>
      <c r="P175" s="3" t="s">
        <v>455</v>
      </c>
      <c r="Q175" s="2" t="s">
        <v>471</v>
      </c>
      <c r="R175" s="118">
        <f t="shared" si="79"/>
        <v>0</v>
      </c>
      <c r="S175" s="118">
        <f t="shared" si="80"/>
        <v>0</v>
      </c>
      <c r="T175" s="118">
        <f t="shared" si="81"/>
        <v>0</v>
      </c>
      <c r="U175" s="118">
        <f t="shared" si="82"/>
        <v>0</v>
      </c>
      <c r="V175" s="118">
        <f t="shared" si="83"/>
        <v>0</v>
      </c>
      <c r="W175" s="118">
        <f t="shared" si="84"/>
        <v>0</v>
      </c>
      <c r="X175" s="118">
        <f t="shared" si="85"/>
        <v>0</v>
      </c>
      <c r="Y175" s="118">
        <f t="shared" si="86"/>
        <v>0</v>
      </c>
      <c r="Z175" s="118">
        <f t="shared" si="87"/>
        <v>0</v>
      </c>
      <c r="AA175" s="118">
        <f t="shared" si="88"/>
        <v>0</v>
      </c>
      <c r="AB175" s="118">
        <f t="shared" si="89"/>
        <v>0</v>
      </c>
      <c r="AC175" s="118">
        <f t="shared" si="90"/>
        <v>0</v>
      </c>
      <c r="AD175" s="119"/>
      <c r="AE175" s="116">
        <f t="shared" si="91"/>
        <v>0</v>
      </c>
      <c r="AF175" s="116">
        <f t="shared" si="91"/>
        <v>0</v>
      </c>
      <c r="AG175" s="116">
        <f t="shared" si="91"/>
        <v>0</v>
      </c>
      <c r="AH175" s="116">
        <f t="shared" si="91"/>
        <v>0</v>
      </c>
      <c r="AI175" s="116">
        <f t="shared" si="91"/>
        <v>0</v>
      </c>
      <c r="AJ175" s="116">
        <f t="shared" si="91"/>
        <v>0</v>
      </c>
      <c r="AK175" s="116">
        <f t="shared" si="91"/>
        <v>0</v>
      </c>
      <c r="AL175" s="116">
        <f t="shared" si="91"/>
        <v>0</v>
      </c>
      <c r="AM175" s="116">
        <f t="shared" si="91"/>
        <v>0</v>
      </c>
      <c r="AN175" s="116">
        <f t="shared" si="91"/>
        <v>0</v>
      </c>
      <c r="AO175" s="116">
        <f t="shared" si="91"/>
        <v>0</v>
      </c>
      <c r="AP175" s="116">
        <f t="shared" si="91"/>
        <v>0</v>
      </c>
      <c r="AQ175" s="117">
        <f t="shared" si="92"/>
        <v>0</v>
      </c>
      <c r="AR175" s="118">
        <f t="shared" si="93"/>
        <v>0</v>
      </c>
      <c r="AS175" s="118">
        <f t="shared" si="94"/>
        <v>0</v>
      </c>
      <c r="AT175" s="118">
        <f t="shared" si="95"/>
        <v>0</v>
      </c>
      <c r="AU175" s="118">
        <f t="shared" si="96"/>
        <v>0</v>
      </c>
      <c r="AV175" s="118">
        <f t="shared" si="97"/>
        <v>0</v>
      </c>
      <c r="AW175" s="118">
        <f t="shared" si="98"/>
        <v>0</v>
      </c>
      <c r="AX175" s="118">
        <f t="shared" si="99"/>
        <v>0</v>
      </c>
      <c r="AY175" s="118">
        <f t="shared" si="100"/>
        <v>0</v>
      </c>
      <c r="AZ175" s="118">
        <f t="shared" si="101"/>
        <v>0</v>
      </c>
      <c r="BA175" s="118">
        <f t="shared" si="102"/>
        <v>0</v>
      </c>
      <c r="BB175" s="118">
        <f t="shared" si="103"/>
        <v>0</v>
      </c>
      <c r="BC175" s="118">
        <f t="shared" si="104"/>
        <v>0</v>
      </c>
      <c r="BD175" s="8"/>
      <c r="BE175" s="8"/>
    </row>
    <row r="176" spans="1:57">
      <c r="A176" s="2"/>
      <c r="B176" s="8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2"/>
      <c r="P176" s="3" t="s">
        <v>456</v>
      </c>
      <c r="Q176" s="2" t="s">
        <v>472</v>
      </c>
      <c r="R176" s="118">
        <f t="shared" si="79"/>
        <v>0</v>
      </c>
      <c r="S176" s="118">
        <f t="shared" si="80"/>
        <v>0</v>
      </c>
      <c r="T176" s="118">
        <f t="shared" si="81"/>
        <v>0</v>
      </c>
      <c r="U176" s="118">
        <f t="shared" si="82"/>
        <v>0</v>
      </c>
      <c r="V176" s="118">
        <f t="shared" si="83"/>
        <v>0</v>
      </c>
      <c r="W176" s="118">
        <f t="shared" si="84"/>
        <v>0</v>
      </c>
      <c r="X176" s="118">
        <f t="shared" si="85"/>
        <v>0</v>
      </c>
      <c r="Y176" s="118">
        <f t="shared" si="86"/>
        <v>0</v>
      </c>
      <c r="Z176" s="118">
        <f t="shared" si="87"/>
        <v>0</v>
      </c>
      <c r="AA176" s="118">
        <f t="shared" si="88"/>
        <v>0</v>
      </c>
      <c r="AB176" s="118">
        <f t="shared" si="89"/>
        <v>0</v>
      </c>
      <c r="AC176" s="118">
        <f t="shared" si="90"/>
        <v>0</v>
      </c>
      <c r="AD176" s="119"/>
      <c r="AE176" s="116">
        <f t="shared" si="91"/>
        <v>0</v>
      </c>
      <c r="AF176" s="116">
        <f t="shared" si="91"/>
        <v>0</v>
      </c>
      <c r="AG176" s="116">
        <f t="shared" si="91"/>
        <v>0</v>
      </c>
      <c r="AH176" s="116">
        <f t="shared" si="91"/>
        <v>0</v>
      </c>
      <c r="AI176" s="116">
        <f t="shared" si="91"/>
        <v>0</v>
      </c>
      <c r="AJ176" s="116">
        <f t="shared" si="91"/>
        <v>0</v>
      </c>
      <c r="AK176" s="116">
        <f t="shared" si="91"/>
        <v>0</v>
      </c>
      <c r="AL176" s="116">
        <f t="shared" si="91"/>
        <v>0</v>
      </c>
      <c r="AM176" s="116">
        <f t="shared" si="91"/>
        <v>0</v>
      </c>
      <c r="AN176" s="116">
        <f t="shared" si="91"/>
        <v>0</v>
      </c>
      <c r="AO176" s="116">
        <f t="shared" si="91"/>
        <v>0</v>
      </c>
      <c r="AP176" s="116">
        <f t="shared" si="91"/>
        <v>0</v>
      </c>
      <c r="AQ176" s="117">
        <f t="shared" si="92"/>
        <v>0</v>
      </c>
      <c r="AR176" s="118">
        <f t="shared" si="93"/>
        <v>0</v>
      </c>
      <c r="AS176" s="118">
        <f t="shared" si="94"/>
        <v>0</v>
      </c>
      <c r="AT176" s="118">
        <f t="shared" si="95"/>
        <v>0</v>
      </c>
      <c r="AU176" s="118">
        <f t="shared" si="96"/>
        <v>0</v>
      </c>
      <c r="AV176" s="118">
        <f t="shared" si="97"/>
        <v>0</v>
      </c>
      <c r="AW176" s="118">
        <f t="shared" si="98"/>
        <v>0</v>
      </c>
      <c r="AX176" s="118">
        <f t="shared" si="99"/>
        <v>0</v>
      </c>
      <c r="AY176" s="118">
        <f t="shared" si="100"/>
        <v>0</v>
      </c>
      <c r="AZ176" s="118">
        <f t="shared" si="101"/>
        <v>0</v>
      </c>
      <c r="BA176" s="118">
        <f t="shared" si="102"/>
        <v>0</v>
      </c>
      <c r="BB176" s="118">
        <f t="shared" si="103"/>
        <v>0</v>
      </c>
      <c r="BC176" s="118">
        <f t="shared" si="104"/>
        <v>0</v>
      </c>
      <c r="BD176" s="8"/>
      <c r="BE176" s="8"/>
    </row>
    <row r="177" spans="1:57">
      <c r="A177" s="2"/>
      <c r="B177" s="8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2"/>
      <c r="P177" s="3" t="s">
        <v>457</v>
      </c>
      <c r="Q177" s="2" t="s">
        <v>473</v>
      </c>
      <c r="R177" s="118">
        <f t="shared" si="79"/>
        <v>0</v>
      </c>
      <c r="S177" s="118">
        <f t="shared" si="80"/>
        <v>0</v>
      </c>
      <c r="T177" s="118">
        <f t="shared" si="81"/>
        <v>0</v>
      </c>
      <c r="U177" s="118">
        <f t="shared" si="82"/>
        <v>0</v>
      </c>
      <c r="V177" s="118">
        <f t="shared" si="83"/>
        <v>0</v>
      </c>
      <c r="W177" s="118">
        <f t="shared" si="84"/>
        <v>0</v>
      </c>
      <c r="X177" s="118">
        <f t="shared" si="85"/>
        <v>0</v>
      </c>
      <c r="Y177" s="118">
        <f t="shared" si="86"/>
        <v>0</v>
      </c>
      <c r="Z177" s="118">
        <f t="shared" si="87"/>
        <v>0</v>
      </c>
      <c r="AA177" s="118">
        <f t="shared" si="88"/>
        <v>0</v>
      </c>
      <c r="AB177" s="118">
        <f t="shared" si="89"/>
        <v>0</v>
      </c>
      <c r="AC177" s="118">
        <f t="shared" si="90"/>
        <v>0</v>
      </c>
      <c r="AD177" s="119"/>
      <c r="AE177" s="116">
        <f t="shared" si="91"/>
        <v>0</v>
      </c>
      <c r="AF177" s="116">
        <f t="shared" si="91"/>
        <v>0</v>
      </c>
      <c r="AG177" s="116">
        <f t="shared" si="91"/>
        <v>0</v>
      </c>
      <c r="AH177" s="116">
        <f t="shared" si="91"/>
        <v>0</v>
      </c>
      <c r="AI177" s="116">
        <f t="shared" si="91"/>
        <v>0</v>
      </c>
      <c r="AJ177" s="116">
        <f t="shared" si="91"/>
        <v>0</v>
      </c>
      <c r="AK177" s="116">
        <f t="shared" si="91"/>
        <v>0</v>
      </c>
      <c r="AL177" s="116">
        <f t="shared" si="91"/>
        <v>0</v>
      </c>
      <c r="AM177" s="116">
        <f t="shared" si="91"/>
        <v>0</v>
      </c>
      <c r="AN177" s="116">
        <f t="shared" si="91"/>
        <v>0</v>
      </c>
      <c r="AO177" s="116">
        <f t="shared" si="91"/>
        <v>0</v>
      </c>
      <c r="AP177" s="116">
        <f t="shared" si="91"/>
        <v>0</v>
      </c>
      <c r="AQ177" s="117">
        <f t="shared" si="92"/>
        <v>0</v>
      </c>
      <c r="AR177" s="118">
        <f t="shared" si="93"/>
        <v>0</v>
      </c>
      <c r="AS177" s="118">
        <f t="shared" si="94"/>
        <v>0</v>
      </c>
      <c r="AT177" s="118">
        <f t="shared" si="95"/>
        <v>0</v>
      </c>
      <c r="AU177" s="118">
        <f t="shared" si="96"/>
        <v>0</v>
      </c>
      <c r="AV177" s="118">
        <f t="shared" si="97"/>
        <v>0</v>
      </c>
      <c r="AW177" s="118">
        <f t="shared" si="98"/>
        <v>0</v>
      </c>
      <c r="AX177" s="118">
        <f t="shared" si="99"/>
        <v>0</v>
      </c>
      <c r="AY177" s="118">
        <f t="shared" si="100"/>
        <v>0</v>
      </c>
      <c r="AZ177" s="118">
        <f t="shared" si="101"/>
        <v>0</v>
      </c>
      <c r="BA177" s="118">
        <f t="shared" si="102"/>
        <v>0</v>
      </c>
      <c r="BB177" s="118">
        <f t="shared" si="103"/>
        <v>0</v>
      </c>
      <c r="BC177" s="118">
        <f t="shared" si="104"/>
        <v>0</v>
      </c>
      <c r="BD177" s="8"/>
      <c r="BE177" s="8"/>
    </row>
    <row r="178" spans="1:57">
      <c r="A178" s="2"/>
      <c r="B178" s="8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2"/>
      <c r="P178" s="3" t="s">
        <v>458</v>
      </c>
      <c r="Q178" s="2" t="s">
        <v>474</v>
      </c>
      <c r="R178" s="118">
        <f t="shared" si="79"/>
        <v>0</v>
      </c>
      <c r="S178" s="118">
        <f t="shared" si="80"/>
        <v>0</v>
      </c>
      <c r="T178" s="118">
        <f t="shared" si="81"/>
        <v>0</v>
      </c>
      <c r="U178" s="118">
        <f t="shared" si="82"/>
        <v>0</v>
      </c>
      <c r="V178" s="118">
        <f t="shared" si="83"/>
        <v>0</v>
      </c>
      <c r="W178" s="118">
        <f t="shared" si="84"/>
        <v>0</v>
      </c>
      <c r="X178" s="118">
        <f t="shared" si="85"/>
        <v>0</v>
      </c>
      <c r="Y178" s="118">
        <f t="shared" si="86"/>
        <v>0</v>
      </c>
      <c r="Z178" s="118">
        <f t="shared" si="87"/>
        <v>0</v>
      </c>
      <c r="AA178" s="118">
        <f t="shared" si="88"/>
        <v>0</v>
      </c>
      <c r="AB178" s="118">
        <f t="shared" si="89"/>
        <v>0</v>
      </c>
      <c r="AC178" s="118">
        <f t="shared" si="90"/>
        <v>0</v>
      </c>
      <c r="AD178" s="119"/>
      <c r="AE178" s="116">
        <f t="shared" si="91"/>
        <v>0</v>
      </c>
      <c r="AF178" s="116">
        <f t="shared" si="91"/>
        <v>0</v>
      </c>
      <c r="AG178" s="116">
        <f t="shared" si="91"/>
        <v>0</v>
      </c>
      <c r="AH178" s="116">
        <f t="shared" si="91"/>
        <v>0</v>
      </c>
      <c r="AI178" s="116">
        <f t="shared" si="91"/>
        <v>0</v>
      </c>
      <c r="AJ178" s="116">
        <f t="shared" si="91"/>
        <v>0</v>
      </c>
      <c r="AK178" s="116">
        <f t="shared" si="91"/>
        <v>0</v>
      </c>
      <c r="AL178" s="116">
        <f t="shared" si="91"/>
        <v>0</v>
      </c>
      <c r="AM178" s="116">
        <f t="shared" si="91"/>
        <v>0</v>
      </c>
      <c r="AN178" s="116">
        <f t="shared" si="91"/>
        <v>0</v>
      </c>
      <c r="AO178" s="116">
        <f t="shared" si="91"/>
        <v>0</v>
      </c>
      <c r="AP178" s="116">
        <f t="shared" si="91"/>
        <v>0</v>
      </c>
      <c r="AQ178" s="117">
        <f t="shared" si="92"/>
        <v>0</v>
      </c>
      <c r="AR178" s="118">
        <f t="shared" si="93"/>
        <v>0</v>
      </c>
      <c r="AS178" s="118">
        <f t="shared" si="94"/>
        <v>0</v>
      </c>
      <c r="AT178" s="118">
        <f t="shared" si="95"/>
        <v>0</v>
      </c>
      <c r="AU178" s="118">
        <f t="shared" si="96"/>
        <v>0</v>
      </c>
      <c r="AV178" s="118">
        <f t="shared" si="97"/>
        <v>0</v>
      </c>
      <c r="AW178" s="118">
        <f t="shared" si="98"/>
        <v>0</v>
      </c>
      <c r="AX178" s="118">
        <f t="shared" si="99"/>
        <v>0</v>
      </c>
      <c r="AY178" s="118">
        <f t="shared" si="100"/>
        <v>0</v>
      </c>
      <c r="AZ178" s="118">
        <f t="shared" si="101"/>
        <v>0</v>
      </c>
      <c r="BA178" s="118">
        <f t="shared" si="102"/>
        <v>0</v>
      </c>
      <c r="BB178" s="118">
        <f t="shared" si="103"/>
        <v>0</v>
      </c>
      <c r="BC178" s="118">
        <f t="shared" si="104"/>
        <v>0</v>
      </c>
      <c r="BD178" s="8"/>
      <c r="BE178" s="8"/>
    </row>
    <row r="179" spans="1:57">
      <c r="A179" s="2"/>
      <c r="B179" s="8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2"/>
      <c r="P179" s="3" t="s">
        <v>459</v>
      </c>
      <c r="Q179" s="2" t="s">
        <v>475</v>
      </c>
      <c r="R179" s="118">
        <f t="shared" si="79"/>
        <v>0</v>
      </c>
      <c r="S179" s="118">
        <f t="shared" si="80"/>
        <v>0</v>
      </c>
      <c r="T179" s="118">
        <f t="shared" si="81"/>
        <v>0</v>
      </c>
      <c r="U179" s="118">
        <f t="shared" si="82"/>
        <v>0</v>
      </c>
      <c r="V179" s="118">
        <f t="shared" si="83"/>
        <v>0</v>
      </c>
      <c r="W179" s="118">
        <f t="shared" si="84"/>
        <v>0</v>
      </c>
      <c r="X179" s="118">
        <f t="shared" si="85"/>
        <v>0</v>
      </c>
      <c r="Y179" s="118">
        <f t="shared" si="86"/>
        <v>0</v>
      </c>
      <c r="Z179" s="118">
        <f t="shared" si="87"/>
        <v>0</v>
      </c>
      <c r="AA179" s="118">
        <f t="shared" si="88"/>
        <v>0</v>
      </c>
      <c r="AB179" s="118">
        <f t="shared" si="89"/>
        <v>0</v>
      </c>
      <c r="AC179" s="118">
        <f t="shared" si="90"/>
        <v>0</v>
      </c>
      <c r="AD179" s="119"/>
      <c r="AE179" s="116">
        <f t="shared" si="91"/>
        <v>0</v>
      </c>
      <c r="AF179" s="116">
        <f t="shared" si="91"/>
        <v>0</v>
      </c>
      <c r="AG179" s="116">
        <f t="shared" si="91"/>
        <v>0</v>
      </c>
      <c r="AH179" s="116">
        <f t="shared" si="91"/>
        <v>0</v>
      </c>
      <c r="AI179" s="116">
        <f t="shared" si="91"/>
        <v>0</v>
      </c>
      <c r="AJ179" s="116">
        <f t="shared" si="91"/>
        <v>0</v>
      </c>
      <c r="AK179" s="116">
        <f t="shared" si="91"/>
        <v>0</v>
      </c>
      <c r="AL179" s="116">
        <f t="shared" si="91"/>
        <v>0</v>
      </c>
      <c r="AM179" s="116">
        <f t="shared" si="91"/>
        <v>0</v>
      </c>
      <c r="AN179" s="116">
        <f t="shared" si="91"/>
        <v>0</v>
      </c>
      <c r="AO179" s="116">
        <f t="shared" si="91"/>
        <v>0</v>
      </c>
      <c r="AP179" s="116">
        <f t="shared" si="91"/>
        <v>0</v>
      </c>
      <c r="AQ179" s="117">
        <f t="shared" si="92"/>
        <v>0</v>
      </c>
      <c r="AR179" s="118">
        <f t="shared" si="93"/>
        <v>0</v>
      </c>
      <c r="AS179" s="118">
        <f t="shared" si="94"/>
        <v>0</v>
      </c>
      <c r="AT179" s="118">
        <f t="shared" si="95"/>
        <v>0</v>
      </c>
      <c r="AU179" s="118">
        <f t="shared" si="96"/>
        <v>0</v>
      </c>
      <c r="AV179" s="118">
        <f t="shared" si="97"/>
        <v>0</v>
      </c>
      <c r="AW179" s="118">
        <f t="shared" si="98"/>
        <v>0</v>
      </c>
      <c r="AX179" s="118">
        <f t="shared" si="99"/>
        <v>0</v>
      </c>
      <c r="AY179" s="118">
        <f t="shared" si="100"/>
        <v>0</v>
      </c>
      <c r="AZ179" s="118">
        <f t="shared" si="101"/>
        <v>0</v>
      </c>
      <c r="BA179" s="118">
        <f t="shared" si="102"/>
        <v>0</v>
      </c>
      <c r="BB179" s="118">
        <f t="shared" si="103"/>
        <v>0</v>
      </c>
      <c r="BC179" s="118">
        <f t="shared" si="104"/>
        <v>0</v>
      </c>
      <c r="BD179" s="8"/>
      <c r="BE179" s="8"/>
    </row>
    <row r="180" spans="1:57">
      <c r="A180" s="2"/>
      <c r="B180" s="8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2"/>
      <c r="P180" s="3" t="s">
        <v>460</v>
      </c>
      <c r="Q180" s="2" t="s">
        <v>476</v>
      </c>
      <c r="R180" s="118">
        <f t="shared" si="79"/>
        <v>0</v>
      </c>
      <c r="S180" s="118">
        <f t="shared" si="80"/>
        <v>0</v>
      </c>
      <c r="T180" s="118">
        <f t="shared" si="81"/>
        <v>0</v>
      </c>
      <c r="U180" s="118">
        <f t="shared" si="82"/>
        <v>0</v>
      </c>
      <c r="V180" s="118">
        <f t="shared" si="83"/>
        <v>0</v>
      </c>
      <c r="W180" s="118">
        <f t="shared" si="84"/>
        <v>0</v>
      </c>
      <c r="X180" s="118">
        <f t="shared" si="85"/>
        <v>0</v>
      </c>
      <c r="Y180" s="118">
        <f t="shared" si="86"/>
        <v>0</v>
      </c>
      <c r="Z180" s="118">
        <f t="shared" si="87"/>
        <v>0</v>
      </c>
      <c r="AA180" s="118">
        <f t="shared" si="88"/>
        <v>0</v>
      </c>
      <c r="AB180" s="118">
        <f t="shared" si="89"/>
        <v>0</v>
      </c>
      <c r="AC180" s="118">
        <f t="shared" si="90"/>
        <v>0</v>
      </c>
      <c r="AD180" s="119"/>
      <c r="AE180" s="116">
        <f t="shared" si="91"/>
        <v>0</v>
      </c>
      <c r="AF180" s="116">
        <f t="shared" si="91"/>
        <v>0</v>
      </c>
      <c r="AG180" s="116">
        <f t="shared" si="91"/>
        <v>0</v>
      </c>
      <c r="AH180" s="116">
        <f t="shared" si="91"/>
        <v>0</v>
      </c>
      <c r="AI180" s="116">
        <f t="shared" si="91"/>
        <v>0</v>
      </c>
      <c r="AJ180" s="116">
        <f t="shared" si="91"/>
        <v>0</v>
      </c>
      <c r="AK180" s="116">
        <f t="shared" si="91"/>
        <v>0</v>
      </c>
      <c r="AL180" s="116">
        <f t="shared" si="91"/>
        <v>0</v>
      </c>
      <c r="AM180" s="116">
        <f t="shared" si="91"/>
        <v>0</v>
      </c>
      <c r="AN180" s="116">
        <f t="shared" si="91"/>
        <v>0</v>
      </c>
      <c r="AO180" s="116">
        <f t="shared" si="91"/>
        <v>0</v>
      </c>
      <c r="AP180" s="116">
        <f t="shared" si="91"/>
        <v>0</v>
      </c>
      <c r="AQ180" s="117">
        <f t="shared" si="92"/>
        <v>0</v>
      </c>
      <c r="AR180" s="118">
        <f t="shared" si="93"/>
        <v>0</v>
      </c>
      <c r="AS180" s="118">
        <f t="shared" si="94"/>
        <v>0</v>
      </c>
      <c r="AT180" s="118">
        <f t="shared" si="95"/>
        <v>0</v>
      </c>
      <c r="AU180" s="118">
        <f t="shared" si="96"/>
        <v>0</v>
      </c>
      <c r="AV180" s="118">
        <f t="shared" si="97"/>
        <v>0</v>
      </c>
      <c r="AW180" s="118">
        <f t="shared" si="98"/>
        <v>0</v>
      </c>
      <c r="AX180" s="118">
        <f t="shared" si="99"/>
        <v>0</v>
      </c>
      <c r="AY180" s="118">
        <f t="shared" si="100"/>
        <v>0</v>
      </c>
      <c r="AZ180" s="118">
        <f t="shared" si="101"/>
        <v>0</v>
      </c>
      <c r="BA180" s="118">
        <f t="shared" si="102"/>
        <v>0</v>
      </c>
      <c r="BB180" s="118">
        <f t="shared" si="103"/>
        <v>0</v>
      </c>
      <c r="BC180" s="118">
        <f t="shared" si="104"/>
        <v>0</v>
      </c>
      <c r="BD180" s="8"/>
      <c r="BE180" s="8"/>
    </row>
    <row r="181" spans="1:57">
      <c r="A181" s="2"/>
      <c r="B181" s="8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2"/>
      <c r="P181" s="3" t="s">
        <v>461</v>
      </c>
      <c r="Q181" s="2" t="s">
        <v>477</v>
      </c>
      <c r="R181" s="118">
        <f t="shared" si="79"/>
        <v>0</v>
      </c>
      <c r="S181" s="118">
        <f t="shared" si="80"/>
        <v>0</v>
      </c>
      <c r="T181" s="118">
        <f t="shared" si="81"/>
        <v>0</v>
      </c>
      <c r="U181" s="118">
        <f t="shared" si="82"/>
        <v>0</v>
      </c>
      <c r="V181" s="118">
        <f t="shared" si="83"/>
        <v>0</v>
      </c>
      <c r="W181" s="118">
        <f t="shared" si="84"/>
        <v>0</v>
      </c>
      <c r="X181" s="118">
        <f t="shared" si="85"/>
        <v>0</v>
      </c>
      <c r="Y181" s="118">
        <f t="shared" si="86"/>
        <v>0</v>
      </c>
      <c r="Z181" s="118">
        <f t="shared" si="87"/>
        <v>0</v>
      </c>
      <c r="AA181" s="118">
        <f t="shared" si="88"/>
        <v>0</v>
      </c>
      <c r="AB181" s="118">
        <f t="shared" si="89"/>
        <v>0</v>
      </c>
      <c r="AC181" s="118">
        <f t="shared" si="90"/>
        <v>0</v>
      </c>
      <c r="AD181" s="119"/>
      <c r="AE181" s="116">
        <f t="shared" si="91"/>
        <v>0</v>
      </c>
      <c r="AF181" s="116">
        <f t="shared" si="91"/>
        <v>0</v>
      </c>
      <c r="AG181" s="116">
        <f t="shared" si="91"/>
        <v>0</v>
      </c>
      <c r="AH181" s="116">
        <f t="shared" si="91"/>
        <v>0</v>
      </c>
      <c r="AI181" s="116">
        <f t="shared" si="91"/>
        <v>0</v>
      </c>
      <c r="AJ181" s="116">
        <f t="shared" si="91"/>
        <v>0</v>
      </c>
      <c r="AK181" s="116">
        <f t="shared" si="91"/>
        <v>0</v>
      </c>
      <c r="AL181" s="116">
        <f t="shared" si="91"/>
        <v>0</v>
      </c>
      <c r="AM181" s="116">
        <f t="shared" si="91"/>
        <v>0</v>
      </c>
      <c r="AN181" s="116">
        <f t="shared" si="91"/>
        <v>0</v>
      </c>
      <c r="AO181" s="116">
        <f t="shared" si="91"/>
        <v>0</v>
      </c>
      <c r="AP181" s="116">
        <f t="shared" si="91"/>
        <v>0</v>
      </c>
      <c r="AQ181" s="117">
        <f t="shared" si="92"/>
        <v>0</v>
      </c>
      <c r="AR181" s="118">
        <f t="shared" si="93"/>
        <v>0</v>
      </c>
      <c r="AS181" s="118">
        <f t="shared" si="94"/>
        <v>0</v>
      </c>
      <c r="AT181" s="118">
        <f t="shared" si="95"/>
        <v>0</v>
      </c>
      <c r="AU181" s="118">
        <f t="shared" si="96"/>
        <v>0</v>
      </c>
      <c r="AV181" s="118">
        <f t="shared" si="97"/>
        <v>0</v>
      </c>
      <c r="AW181" s="118">
        <f t="shared" si="98"/>
        <v>0</v>
      </c>
      <c r="AX181" s="118">
        <f t="shared" si="99"/>
        <v>0</v>
      </c>
      <c r="AY181" s="118">
        <f t="shared" si="100"/>
        <v>0</v>
      </c>
      <c r="AZ181" s="118">
        <f t="shared" si="101"/>
        <v>0</v>
      </c>
      <c r="BA181" s="118">
        <f t="shared" si="102"/>
        <v>0</v>
      </c>
      <c r="BB181" s="118">
        <f t="shared" si="103"/>
        <v>0</v>
      </c>
      <c r="BC181" s="118">
        <f t="shared" si="104"/>
        <v>0</v>
      </c>
      <c r="BD181" s="8"/>
      <c r="BE181" s="8"/>
    </row>
    <row r="182" spans="1:57">
      <c r="A182" s="2"/>
      <c r="B182" s="8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2"/>
      <c r="P182" s="3" t="s">
        <v>462</v>
      </c>
      <c r="Q182" s="2" t="s">
        <v>478</v>
      </c>
      <c r="R182" s="118">
        <f t="shared" si="79"/>
        <v>0</v>
      </c>
      <c r="S182" s="118">
        <f t="shared" si="80"/>
        <v>0</v>
      </c>
      <c r="T182" s="118">
        <f t="shared" si="81"/>
        <v>0</v>
      </c>
      <c r="U182" s="118">
        <f t="shared" si="82"/>
        <v>0</v>
      </c>
      <c r="V182" s="118">
        <f t="shared" si="83"/>
        <v>0</v>
      </c>
      <c r="W182" s="118">
        <f t="shared" si="84"/>
        <v>0</v>
      </c>
      <c r="X182" s="118">
        <f t="shared" si="85"/>
        <v>0</v>
      </c>
      <c r="Y182" s="118">
        <f t="shared" si="86"/>
        <v>0</v>
      </c>
      <c r="Z182" s="118">
        <f t="shared" si="87"/>
        <v>0</v>
      </c>
      <c r="AA182" s="118">
        <f t="shared" si="88"/>
        <v>0</v>
      </c>
      <c r="AB182" s="118">
        <f t="shared" si="89"/>
        <v>0</v>
      </c>
      <c r="AC182" s="118">
        <f t="shared" si="90"/>
        <v>0</v>
      </c>
      <c r="AD182" s="119"/>
      <c r="AE182" s="116">
        <f t="shared" si="91"/>
        <v>0</v>
      </c>
      <c r="AF182" s="116">
        <f t="shared" si="91"/>
        <v>0</v>
      </c>
      <c r="AG182" s="116">
        <f t="shared" si="91"/>
        <v>0</v>
      </c>
      <c r="AH182" s="116">
        <f t="shared" si="91"/>
        <v>0</v>
      </c>
      <c r="AI182" s="116">
        <f t="shared" si="91"/>
        <v>0</v>
      </c>
      <c r="AJ182" s="116">
        <f t="shared" si="91"/>
        <v>0</v>
      </c>
      <c r="AK182" s="116">
        <f t="shared" si="91"/>
        <v>0</v>
      </c>
      <c r="AL182" s="116">
        <f t="shared" si="91"/>
        <v>0</v>
      </c>
      <c r="AM182" s="116">
        <f t="shared" si="91"/>
        <v>0</v>
      </c>
      <c r="AN182" s="116">
        <f t="shared" si="91"/>
        <v>0</v>
      </c>
      <c r="AO182" s="116">
        <f t="shared" si="91"/>
        <v>0</v>
      </c>
      <c r="AP182" s="116">
        <f t="shared" si="91"/>
        <v>0</v>
      </c>
      <c r="AQ182" s="117">
        <f t="shared" si="92"/>
        <v>0</v>
      </c>
      <c r="AR182" s="118">
        <f t="shared" si="93"/>
        <v>0</v>
      </c>
      <c r="AS182" s="118">
        <f t="shared" si="94"/>
        <v>0</v>
      </c>
      <c r="AT182" s="118">
        <f t="shared" si="95"/>
        <v>0</v>
      </c>
      <c r="AU182" s="118">
        <f t="shared" si="96"/>
        <v>0</v>
      </c>
      <c r="AV182" s="118">
        <f t="shared" si="97"/>
        <v>0</v>
      </c>
      <c r="AW182" s="118">
        <f t="shared" si="98"/>
        <v>0</v>
      </c>
      <c r="AX182" s="118">
        <f t="shared" si="99"/>
        <v>0</v>
      </c>
      <c r="AY182" s="118">
        <f t="shared" si="100"/>
        <v>0</v>
      </c>
      <c r="AZ182" s="118">
        <f t="shared" si="101"/>
        <v>0</v>
      </c>
      <c r="BA182" s="118">
        <f t="shared" si="102"/>
        <v>0</v>
      </c>
      <c r="BB182" s="118">
        <f t="shared" si="103"/>
        <v>0</v>
      </c>
      <c r="BC182" s="118">
        <f t="shared" si="104"/>
        <v>0</v>
      </c>
      <c r="BD182" s="8"/>
      <c r="BE182" s="8"/>
    </row>
    <row r="183" spans="1:57">
      <c r="A183" s="2"/>
      <c r="B183" s="8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2"/>
      <c r="P183" s="3" t="s">
        <v>463</v>
      </c>
      <c r="Q183" s="2" t="s">
        <v>469</v>
      </c>
      <c r="R183" s="118">
        <f t="shared" si="79"/>
        <v>0</v>
      </c>
      <c r="S183" s="118">
        <f t="shared" si="80"/>
        <v>0</v>
      </c>
      <c r="T183" s="118">
        <f t="shared" si="81"/>
        <v>0</v>
      </c>
      <c r="U183" s="118">
        <f t="shared" si="82"/>
        <v>0</v>
      </c>
      <c r="V183" s="118">
        <f t="shared" si="83"/>
        <v>0</v>
      </c>
      <c r="W183" s="118">
        <f t="shared" si="84"/>
        <v>0</v>
      </c>
      <c r="X183" s="118">
        <f t="shared" si="85"/>
        <v>0</v>
      </c>
      <c r="Y183" s="118">
        <f t="shared" si="86"/>
        <v>0</v>
      </c>
      <c r="Z183" s="118">
        <f t="shared" si="87"/>
        <v>0</v>
      </c>
      <c r="AA183" s="118">
        <f t="shared" si="88"/>
        <v>0</v>
      </c>
      <c r="AB183" s="118">
        <f t="shared" si="89"/>
        <v>0</v>
      </c>
      <c r="AC183" s="118">
        <f t="shared" si="90"/>
        <v>0</v>
      </c>
      <c r="AD183" s="119"/>
      <c r="AE183" s="116">
        <f t="shared" si="91"/>
        <v>0</v>
      </c>
      <c r="AF183" s="116">
        <f t="shared" si="91"/>
        <v>0</v>
      </c>
      <c r="AG183" s="116">
        <f t="shared" si="91"/>
        <v>0</v>
      </c>
      <c r="AH183" s="116">
        <f t="shared" si="91"/>
        <v>0</v>
      </c>
      <c r="AI183" s="116">
        <f t="shared" si="91"/>
        <v>0</v>
      </c>
      <c r="AJ183" s="116">
        <f t="shared" si="91"/>
        <v>0</v>
      </c>
      <c r="AK183" s="116">
        <f t="shared" si="91"/>
        <v>0</v>
      </c>
      <c r="AL183" s="116">
        <f t="shared" si="91"/>
        <v>0</v>
      </c>
      <c r="AM183" s="116">
        <f t="shared" si="91"/>
        <v>0</v>
      </c>
      <c r="AN183" s="116">
        <f t="shared" si="91"/>
        <v>0</v>
      </c>
      <c r="AO183" s="116">
        <f t="shared" si="91"/>
        <v>0</v>
      </c>
      <c r="AP183" s="116">
        <f t="shared" si="91"/>
        <v>0</v>
      </c>
      <c r="AQ183" s="117">
        <f t="shared" si="92"/>
        <v>0</v>
      </c>
      <c r="AR183" s="118">
        <f t="shared" si="93"/>
        <v>0</v>
      </c>
      <c r="AS183" s="118">
        <f t="shared" si="94"/>
        <v>0</v>
      </c>
      <c r="AT183" s="118">
        <f t="shared" si="95"/>
        <v>0</v>
      </c>
      <c r="AU183" s="118">
        <f t="shared" si="96"/>
        <v>0</v>
      </c>
      <c r="AV183" s="118">
        <f t="shared" si="97"/>
        <v>0</v>
      </c>
      <c r="AW183" s="118">
        <f t="shared" si="98"/>
        <v>0</v>
      </c>
      <c r="AX183" s="118">
        <f t="shared" si="99"/>
        <v>0</v>
      </c>
      <c r="AY183" s="118">
        <f t="shared" si="100"/>
        <v>0</v>
      </c>
      <c r="AZ183" s="118">
        <f t="shared" si="101"/>
        <v>0</v>
      </c>
      <c r="BA183" s="118">
        <f t="shared" si="102"/>
        <v>0</v>
      </c>
      <c r="BB183" s="118">
        <f t="shared" si="103"/>
        <v>0</v>
      </c>
      <c r="BC183" s="118">
        <f t="shared" si="104"/>
        <v>0</v>
      </c>
      <c r="BD183" s="8"/>
      <c r="BE183" s="8"/>
    </row>
    <row r="184" spans="1:57">
      <c r="A184" s="2"/>
      <c r="B184" s="8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2"/>
      <c r="P184" s="3" t="s">
        <v>464</v>
      </c>
      <c r="Q184" s="2" t="s">
        <v>479</v>
      </c>
      <c r="R184" s="118">
        <f t="shared" si="79"/>
        <v>0</v>
      </c>
      <c r="S184" s="118">
        <f t="shared" si="80"/>
        <v>0</v>
      </c>
      <c r="T184" s="118">
        <f t="shared" si="81"/>
        <v>0</v>
      </c>
      <c r="U184" s="118">
        <f t="shared" si="82"/>
        <v>0</v>
      </c>
      <c r="V184" s="118">
        <f t="shared" si="83"/>
        <v>0</v>
      </c>
      <c r="W184" s="118">
        <f t="shared" si="84"/>
        <v>0</v>
      </c>
      <c r="X184" s="118">
        <f t="shared" si="85"/>
        <v>0</v>
      </c>
      <c r="Y184" s="118">
        <f t="shared" si="86"/>
        <v>0</v>
      </c>
      <c r="Z184" s="118">
        <f t="shared" si="87"/>
        <v>0</v>
      </c>
      <c r="AA184" s="118">
        <f t="shared" si="88"/>
        <v>0</v>
      </c>
      <c r="AB184" s="118">
        <f t="shared" si="89"/>
        <v>0</v>
      </c>
      <c r="AC184" s="118">
        <f t="shared" si="90"/>
        <v>0</v>
      </c>
      <c r="AD184" s="119"/>
      <c r="AE184" s="116">
        <f t="shared" si="91"/>
        <v>0</v>
      </c>
      <c r="AF184" s="116">
        <f t="shared" si="91"/>
        <v>0</v>
      </c>
      <c r="AG184" s="116">
        <f t="shared" si="91"/>
        <v>0</v>
      </c>
      <c r="AH184" s="116">
        <f t="shared" si="91"/>
        <v>0</v>
      </c>
      <c r="AI184" s="116">
        <f t="shared" si="91"/>
        <v>0</v>
      </c>
      <c r="AJ184" s="116">
        <f t="shared" si="91"/>
        <v>0</v>
      </c>
      <c r="AK184" s="116">
        <f t="shared" si="91"/>
        <v>0</v>
      </c>
      <c r="AL184" s="116">
        <f t="shared" si="91"/>
        <v>0</v>
      </c>
      <c r="AM184" s="116">
        <f t="shared" si="91"/>
        <v>0</v>
      </c>
      <c r="AN184" s="116">
        <f t="shared" si="91"/>
        <v>0</v>
      </c>
      <c r="AO184" s="116">
        <f t="shared" si="91"/>
        <v>0</v>
      </c>
      <c r="AP184" s="116">
        <f t="shared" si="91"/>
        <v>0</v>
      </c>
      <c r="AQ184" s="117">
        <f t="shared" si="92"/>
        <v>0</v>
      </c>
      <c r="AR184" s="118">
        <f t="shared" si="93"/>
        <v>0</v>
      </c>
      <c r="AS184" s="118">
        <f t="shared" si="94"/>
        <v>0</v>
      </c>
      <c r="AT184" s="118">
        <f t="shared" si="95"/>
        <v>0</v>
      </c>
      <c r="AU184" s="118">
        <f t="shared" si="96"/>
        <v>0</v>
      </c>
      <c r="AV184" s="118">
        <f t="shared" si="97"/>
        <v>0</v>
      </c>
      <c r="AW184" s="118">
        <f t="shared" si="98"/>
        <v>0</v>
      </c>
      <c r="AX184" s="118">
        <f t="shared" si="99"/>
        <v>0</v>
      </c>
      <c r="AY184" s="118">
        <f t="shared" si="100"/>
        <v>0</v>
      </c>
      <c r="AZ184" s="118">
        <f t="shared" si="101"/>
        <v>0</v>
      </c>
      <c r="BA184" s="118">
        <f t="shared" si="102"/>
        <v>0</v>
      </c>
      <c r="BB184" s="118">
        <f t="shared" si="103"/>
        <v>0</v>
      </c>
      <c r="BC184" s="118">
        <f t="shared" si="104"/>
        <v>0</v>
      </c>
      <c r="BD184" s="8"/>
      <c r="BE184" s="8"/>
    </row>
    <row r="185" spans="1:57">
      <c r="A185" s="2"/>
      <c r="B185" s="8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2"/>
      <c r="P185" s="3" t="s">
        <v>465</v>
      </c>
      <c r="Q185" s="2" t="s">
        <v>480</v>
      </c>
      <c r="R185" s="118">
        <f t="shared" si="79"/>
        <v>0</v>
      </c>
      <c r="S185" s="118">
        <f t="shared" si="80"/>
        <v>0</v>
      </c>
      <c r="T185" s="118">
        <f t="shared" si="81"/>
        <v>0</v>
      </c>
      <c r="U185" s="118">
        <f t="shared" si="82"/>
        <v>0</v>
      </c>
      <c r="V185" s="118">
        <f t="shared" si="83"/>
        <v>0</v>
      </c>
      <c r="W185" s="118">
        <f t="shared" si="84"/>
        <v>0</v>
      </c>
      <c r="X185" s="118">
        <f t="shared" si="85"/>
        <v>0</v>
      </c>
      <c r="Y185" s="118">
        <f t="shared" si="86"/>
        <v>0</v>
      </c>
      <c r="Z185" s="118">
        <f t="shared" si="87"/>
        <v>0</v>
      </c>
      <c r="AA185" s="118">
        <f t="shared" si="88"/>
        <v>0</v>
      </c>
      <c r="AB185" s="118">
        <f t="shared" si="89"/>
        <v>0</v>
      </c>
      <c r="AC185" s="118">
        <f t="shared" si="90"/>
        <v>0</v>
      </c>
      <c r="AD185" s="119"/>
      <c r="AE185" s="116">
        <f t="shared" si="91"/>
        <v>0</v>
      </c>
      <c r="AF185" s="116">
        <f t="shared" si="91"/>
        <v>0</v>
      </c>
      <c r="AG185" s="116">
        <f t="shared" si="91"/>
        <v>0</v>
      </c>
      <c r="AH185" s="116">
        <f t="shared" si="91"/>
        <v>0</v>
      </c>
      <c r="AI185" s="116">
        <f t="shared" si="91"/>
        <v>0</v>
      </c>
      <c r="AJ185" s="116">
        <f t="shared" si="91"/>
        <v>0</v>
      </c>
      <c r="AK185" s="116">
        <f t="shared" si="91"/>
        <v>0</v>
      </c>
      <c r="AL185" s="116">
        <f t="shared" si="91"/>
        <v>0</v>
      </c>
      <c r="AM185" s="116">
        <f t="shared" si="91"/>
        <v>0</v>
      </c>
      <c r="AN185" s="116">
        <f t="shared" si="91"/>
        <v>0</v>
      </c>
      <c r="AO185" s="116">
        <f t="shared" si="91"/>
        <v>0</v>
      </c>
      <c r="AP185" s="116">
        <f t="shared" si="91"/>
        <v>0</v>
      </c>
      <c r="AQ185" s="117">
        <f t="shared" si="92"/>
        <v>0</v>
      </c>
      <c r="AR185" s="118">
        <f t="shared" si="93"/>
        <v>0</v>
      </c>
      <c r="AS185" s="118">
        <f t="shared" si="94"/>
        <v>0</v>
      </c>
      <c r="AT185" s="118">
        <f t="shared" si="95"/>
        <v>0</v>
      </c>
      <c r="AU185" s="118">
        <f t="shared" si="96"/>
        <v>0</v>
      </c>
      <c r="AV185" s="118">
        <f t="shared" si="97"/>
        <v>0</v>
      </c>
      <c r="AW185" s="118">
        <f t="shared" si="98"/>
        <v>0</v>
      </c>
      <c r="AX185" s="118">
        <f t="shared" si="99"/>
        <v>0</v>
      </c>
      <c r="AY185" s="118">
        <f t="shared" si="100"/>
        <v>0</v>
      </c>
      <c r="AZ185" s="118">
        <f t="shared" si="101"/>
        <v>0</v>
      </c>
      <c r="BA185" s="118">
        <f t="shared" si="102"/>
        <v>0</v>
      </c>
      <c r="BB185" s="118">
        <f t="shared" si="103"/>
        <v>0</v>
      </c>
      <c r="BC185" s="118">
        <f t="shared" si="104"/>
        <v>0</v>
      </c>
      <c r="BD185" s="8"/>
      <c r="BE185" s="8"/>
    </row>
    <row r="186" spans="1:57">
      <c r="A186" s="2"/>
      <c r="B186" s="8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2"/>
      <c r="P186" s="3" t="s">
        <v>466</v>
      </c>
      <c r="Q186" s="2" t="s">
        <v>481</v>
      </c>
      <c r="R186" s="118">
        <f t="shared" si="79"/>
        <v>0</v>
      </c>
      <c r="S186" s="118">
        <f t="shared" si="80"/>
        <v>0</v>
      </c>
      <c r="T186" s="118">
        <f t="shared" si="81"/>
        <v>0</v>
      </c>
      <c r="U186" s="118">
        <f t="shared" si="82"/>
        <v>0</v>
      </c>
      <c r="V186" s="118">
        <f t="shared" si="83"/>
        <v>0</v>
      </c>
      <c r="W186" s="118">
        <f t="shared" si="84"/>
        <v>0</v>
      </c>
      <c r="X186" s="118">
        <f t="shared" si="85"/>
        <v>0</v>
      </c>
      <c r="Y186" s="118">
        <f t="shared" si="86"/>
        <v>0</v>
      </c>
      <c r="Z186" s="118">
        <f t="shared" si="87"/>
        <v>0</v>
      </c>
      <c r="AA186" s="118">
        <f t="shared" si="88"/>
        <v>0</v>
      </c>
      <c r="AB186" s="118">
        <f t="shared" si="89"/>
        <v>0</v>
      </c>
      <c r="AC186" s="118">
        <f t="shared" si="90"/>
        <v>0</v>
      </c>
      <c r="AD186" s="119"/>
      <c r="AE186" s="116">
        <f t="shared" si="91"/>
        <v>0</v>
      </c>
      <c r="AF186" s="116">
        <f t="shared" si="91"/>
        <v>0</v>
      </c>
      <c r="AG186" s="116">
        <f t="shared" si="91"/>
        <v>0</v>
      </c>
      <c r="AH186" s="116">
        <f t="shared" si="91"/>
        <v>0</v>
      </c>
      <c r="AI186" s="116">
        <f t="shared" si="91"/>
        <v>0</v>
      </c>
      <c r="AJ186" s="116">
        <f t="shared" si="91"/>
        <v>0</v>
      </c>
      <c r="AK186" s="116">
        <f t="shared" si="91"/>
        <v>0</v>
      </c>
      <c r="AL186" s="116">
        <f t="shared" si="91"/>
        <v>0</v>
      </c>
      <c r="AM186" s="116">
        <f t="shared" si="91"/>
        <v>0</v>
      </c>
      <c r="AN186" s="116">
        <f t="shared" si="91"/>
        <v>0</v>
      </c>
      <c r="AO186" s="116">
        <f t="shared" si="91"/>
        <v>0</v>
      </c>
      <c r="AP186" s="116">
        <f t="shared" si="91"/>
        <v>0</v>
      </c>
      <c r="AQ186" s="117">
        <f t="shared" si="92"/>
        <v>0</v>
      </c>
      <c r="AR186" s="118">
        <f t="shared" si="93"/>
        <v>0</v>
      </c>
      <c r="AS186" s="118">
        <f t="shared" si="94"/>
        <v>0</v>
      </c>
      <c r="AT186" s="118">
        <f t="shared" si="95"/>
        <v>0</v>
      </c>
      <c r="AU186" s="118">
        <f t="shared" si="96"/>
        <v>0</v>
      </c>
      <c r="AV186" s="118">
        <f t="shared" si="97"/>
        <v>0</v>
      </c>
      <c r="AW186" s="118">
        <f t="shared" si="98"/>
        <v>0</v>
      </c>
      <c r="AX186" s="118">
        <f t="shared" si="99"/>
        <v>0</v>
      </c>
      <c r="AY186" s="118">
        <f t="shared" si="100"/>
        <v>0</v>
      </c>
      <c r="AZ186" s="118">
        <f t="shared" si="101"/>
        <v>0</v>
      </c>
      <c r="BA186" s="118">
        <f t="shared" si="102"/>
        <v>0</v>
      </c>
      <c r="BB186" s="118">
        <f t="shared" si="103"/>
        <v>0</v>
      </c>
      <c r="BC186" s="118">
        <f t="shared" si="104"/>
        <v>0</v>
      </c>
      <c r="BD186" s="8"/>
      <c r="BE186" s="8"/>
    </row>
    <row r="187" spans="1:57">
      <c r="A187" s="2"/>
      <c r="B187" s="8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2"/>
      <c r="P187" s="3" t="s">
        <v>467</v>
      </c>
      <c r="Q187" s="2" t="s">
        <v>482</v>
      </c>
      <c r="R187" s="118">
        <f t="shared" si="79"/>
        <v>0</v>
      </c>
      <c r="S187" s="118">
        <f t="shared" si="80"/>
        <v>0</v>
      </c>
      <c r="T187" s="118">
        <f t="shared" si="81"/>
        <v>0</v>
      </c>
      <c r="U187" s="118">
        <f t="shared" si="82"/>
        <v>0</v>
      </c>
      <c r="V187" s="118">
        <f t="shared" si="83"/>
        <v>0</v>
      </c>
      <c r="W187" s="118">
        <f t="shared" si="84"/>
        <v>0</v>
      </c>
      <c r="X187" s="118">
        <f t="shared" si="85"/>
        <v>0</v>
      </c>
      <c r="Y187" s="118">
        <f t="shared" si="86"/>
        <v>0</v>
      </c>
      <c r="Z187" s="118">
        <f t="shared" si="87"/>
        <v>0</v>
      </c>
      <c r="AA187" s="118">
        <f t="shared" si="88"/>
        <v>0</v>
      </c>
      <c r="AB187" s="118">
        <f t="shared" si="89"/>
        <v>0</v>
      </c>
      <c r="AC187" s="118">
        <f t="shared" si="90"/>
        <v>0</v>
      </c>
      <c r="AD187" s="119"/>
      <c r="AE187" s="116">
        <f t="shared" si="91"/>
        <v>0</v>
      </c>
      <c r="AF187" s="116">
        <f t="shared" si="91"/>
        <v>0</v>
      </c>
      <c r="AG187" s="116">
        <f t="shared" si="91"/>
        <v>0</v>
      </c>
      <c r="AH187" s="116">
        <f t="shared" si="91"/>
        <v>0</v>
      </c>
      <c r="AI187" s="116">
        <f t="shared" si="91"/>
        <v>0</v>
      </c>
      <c r="AJ187" s="116">
        <f t="shared" si="91"/>
        <v>0</v>
      </c>
      <c r="AK187" s="116">
        <f t="shared" si="91"/>
        <v>0</v>
      </c>
      <c r="AL187" s="116">
        <f t="shared" si="91"/>
        <v>0</v>
      </c>
      <c r="AM187" s="116">
        <f t="shared" si="91"/>
        <v>0</v>
      </c>
      <c r="AN187" s="116">
        <f t="shared" si="91"/>
        <v>0</v>
      </c>
      <c r="AO187" s="116">
        <f t="shared" si="91"/>
        <v>0</v>
      </c>
      <c r="AP187" s="116">
        <f t="shared" si="91"/>
        <v>0</v>
      </c>
      <c r="AQ187" s="117">
        <f t="shared" si="92"/>
        <v>0</v>
      </c>
      <c r="AR187" s="118">
        <f t="shared" si="93"/>
        <v>0</v>
      </c>
      <c r="AS187" s="118">
        <f t="shared" si="94"/>
        <v>0</v>
      </c>
      <c r="AT187" s="118">
        <f t="shared" si="95"/>
        <v>0</v>
      </c>
      <c r="AU187" s="118">
        <f t="shared" si="96"/>
        <v>0</v>
      </c>
      <c r="AV187" s="118">
        <f t="shared" si="97"/>
        <v>0</v>
      </c>
      <c r="AW187" s="118">
        <f t="shared" si="98"/>
        <v>0</v>
      </c>
      <c r="AX187" s="118">
        <f t="shared" si="99"/>
        <v>0</v>
      </c>
      <c r="AY187" s="118">
        <f t="shared" si="100"/>
        <v>0</v>
      </c>
      <c r="AZ187" s="118">
        <f t="shared" si="101"/>
        <v>0</v>
      </c>
      <c r="BA187" s="118">
        <f t="shared" si="102"/>
        <v>0</v>
      </c>
      <c r="BB187" s="118">
        <f t="shared" si="103"/>
        <v>0</v>
      </c>
      <c r="BC187" s="118">
        <f t="shared" si="104"/>
        <v>0</v>
      </c>
      <c r="BD187" s="8"/>
      <c r="BE187" s="8"/>
    </row>
    <row r="188" spans="1:57">
      <c r="A188" s="2"/>
      <c r="B188" s="8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2"/>
      <c r="P188" s="3" t="s">
        <v>468</v>
      </c>
      <c r="Q188" s="2" t="s">
        <v>483</v>
      </c>
      <c r="R188" s="118">
        <f t="shared" si="79"/>
        <v>0</v>
      </c>
      <c r="S188" s="118">
        <f t="shared" si="80"/>
        <v>0</v>
      </c>
      <c r="T188" s="118">
        <f t="shared" si="81"/>
        <v>0</v>
      </c>
      <c r="U188" s="118">
        <f t="shared" si="82"/>
        <v>0</v>
      </c>
      <c r="V188" s="118">
        <f t="shared" si="83"/>
        <v>0</v>
      </c>
      <c r="W188" s="118">
        <f t="shared" si="84"/>
        <v>0</v>
      </c>
      <c r="X188" s="118">
        <f t="shared" si="85"/>
        <v>0</v>
      </c>
      <c r="Y188" s="118">
        <f t="shared" si="86"/>
        <v>0</v>
      </c>
      <c r="Z188" s="118">
        <f t="shared" si="87"/>
        <v>0</v>
      </c>
      <c r="AA188" s="118">
        <f t="shared" si="88"/>
        <v>0</v>
      </c>
      <c r="AB188" s="118">
        <f t="shared" si="89"/>
        <v>0</v>
      </c>
      <c r="AC188" s="118">
        <f t="shared" si="90"/>
        <v>0</v>
      </c>
      <c r="AD188" s="119"/>
      <c r="AE188" s="116">
        <f t="shared" si="91"/>
        <v>0</v>
      </c>
      <c r="AF188" s="116">
        <f t="shared" si="91"/>
        <v>0</v>
      </c>
      <c r="AG188" s="116">
        <f t="shared" si="91"/>
        <v>0</v>
      </c>
      <c r="AH188" s="116">
        <f t="shared" si="91"/>
        <v>0</v>
      </c>
      <c r="AI188" s="116">
        <f t="shared" si="91"/>
        <v>0</v>
      </c>
      <c r="AJ188" s="116">
        <f t="shared" si="91"/>
        <v>0</v>
      </c>
      <c r="AK188" s="116">
        <f t="shared" si="91"/>
        <v>0</v>
      </c>
      <c r="AL188" s="116">
        <f t="shared" si="91"/>
        <v>0</v>
      </c>
      <c r="AM188" s="116">
        <f t="shared" si="91"/>
        <v>0</v>
      </c>
      <c r="AN188" s="116">
        <f t="shared" si="91"/>
        <v>0</v>
      </c>
      <c r="AO188" s="116">
        <f t="shared" si="91"/>
        <v>0</v>
      </c>
      <c r="AP188" s="116">
        <f t="shared" si="91"/>
        <v>0</v>
      </c>
      <c r="AQ188" s="117">
        <f t="shared" si="92"/>
        <v>0</v>
      </c>
      <c r="AR188" s="118">
        <f t="shared" si="93"/>
        <v>0</v>
      </c>
      <c r="AS188" s="118">
        <f t="shared" si="94"/>
        <v>0</v>
      </c>
      <c r="AT188" s="118">
        <f t="shared" si="95"/>
        <v>0</v>
      </c>
      <c r="AU188" s="118">
        <f t="shared" si="96"/>
        <v>0</v>
      </c>
      <c r="AV188" s="118">
        <f t="shared" si="97"/>
        <v>0</v>
      </c>
      <c r="AW188" s="118">
        <f t="shared" si="98"/>
        <v>0</v>
      </c>
      <c r="AX188" s="118">
        <f t="shared" si="99"/>
        <v>0</v>
      </c>
      <c r="AY188" s="118">
        <f t="shared" si="100"/>
        <v>0</v>
      </c>
      <c r="AZ188" s="118">
        <f t="shared" si="101"/>
        <v>0</v>
      </c>
      <c r="BA188" s="118">
        <f t="shared" si="102"/>
        <v>0</v>
      </c>
      <c r="BB188" s="118">
        <f t="shared" si="103"/>
        <v>0</v>
      </c>
      <c r="BC188" s="118">
        <f t="shared" si="104"/>
        <v>0</v>
      </c>
      <c r="BD188" s="8"/>
      <c r="BE188" s="8"/>
    </row>
    <row r="189" spans="1:57">
      <c r="A189" s="2"/>
      <c r="B189" s="8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5"/>
      <c r="AB189" s="5"/>
      <c r="AC189" s="6"/>
      <c r="AD189" s="2"/>
      <c r="AE189" s="2"/>
      <c r="AF189" s="7"/>
      <c r="AG189" s="2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</row>
    <row r="190" spans="1:57">
      <c r="A190" s="2"/>
      <c r="B190" s="8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5"/>
      <c r="AB190" s="5"/>
      <c r="AC190" s="6"/>
      <c r="AD190" s="2"/>
      <c r="AE190" s="2"/>
      <c r="AF190" s="7"/>
      <c r="AG190" s="2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</row>
    <row r="191" spans="1:57">
      <c r="A191" s="2"/>
      <c r="B191" s="8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2"/>
      <c r="P191" s="3" t="s">
        <v>484</v>
      </c>
      <c r="Q191" s="2" t="s">
        <v>487</v>
      </c>
      <c r="R191" s="118">
        <f t="shared" ref="R191:AC193" si="105">SUMIF($A$35:$A$166,$Q191,C$35:C$166)</f>
        <v>0</v>
      </c>
      <c r="S191" s="118">
        <f t="shared" si="105"/>
        <v>0</v>
      </c>
      <c r="T191" s="118">
        <f t="shared" si="105"/>
        <v>0</v>
      </c>
      <c r="U191" s="118">
        <f t="shared" si="105"/>
        <v>0</v>
      </c>
      <c r="V191" s="118">
        <f t="shared" si="105"/>
        <v>0</v>
      </c>
      <c r="W191" s="118">
        <f t="shared" si="105"/>
        <v>0</v>
      </c>
      <c r="X191" s="118">
        <f t="shared" si="105"/>
        <v>0</v>
      </c>
      <c r="Y191" s="118">
        <f t="shared" si="105"/>
        <v>0</v>
      </c>
      <c r="Z191" s="118">
        <f t="shared" si="105"/>
        <v>0</v>
      </c>
      <c r="AA191" s="118">
        <f t="shared" si="105"/>
        <v>0</v>
      </c>
      <c r="AB191" s="118">
        <f t="shared" si="105"/>
        <v>0</v>
      </c>
      <c r="AC191" s="118">
        <f t="shared" si="105"/>
        <v>0</v>
      </c>
      <c r="AD191" s="119"/>
      <c r="AE191" s="116">
        <f t="shared" ref="AE191:AP193" si="106">$AD191*R191*12/1000</f>
        <v>0</v>
      </c>
      <c r="AF191" s="116">
        <f t="shared" si="106"/>
        <v>0</v>
      </c>
      <c r="AG191" s="116">
        <f t="shared" si="106"/>
        <v>0</v>
      </c>
      <c r="AH191" s="116">
        <f t="shared" si="106"/>
        <v>0</v>
      </c>
      <c r="AI191" s="116">
        <f t="shared" si="106"/>
        <v>0</v>
      </c>
      <c r="AJ191" s="116">
        <f t="shared" si="106"/>
        <v>0</v>
      </c>
      <c r="AK191" s="116">
        <f t="shared" si="106"/>
        <v>0</v>
      </c>
      <c r="AL191" s="116">
        <f t="shared" si="106"/>
        <v>0</v>
      </c>
      <c r="AM191" s="116">
        <f t="shared" si="106"/>
        <v>0</v>
      </c>
      <c r="AN191" s="116">
        <f t="shared" si="106"/>
        <v>0</v>
      </c>
      <c r="AO191" s="116">
        <f t="shared" si="106"/>
        <v>0</v>
      </c>
      <c r="AP191" s="116">
        <f t="shared" si="106"/>
        <v>0</v>
      </c>
      <c r="AQ191" s="117">
        <f>IFERROR(AE191*1000/12/(1+BC$31)/R191,0)</f>
        <v>0</v>
      </c>
      <c r="AR191" s="118">
        <f t="shared" ref="AR191:BC193" si="107">SUMIF($A$35:$A$166,$Q191,O$35:O$166)</f>
        <v>0</v>
      </c>
      <c r="AS191" s="118">
        <f t="shared" si="107"/>
        <v>0</v>
      </c>
      <c r="AT191" s="118">
        <f t="shared" si="107"/>
        <v>0</v>
      </c>
      <c r="AU191" s="118">
        <f t="shared" si="107"/>
        <v>0</v>
      </c>
      <c r="AV191" s="118">
        <f t="shared" si="107"/>
        <v>0</v>
      </c>
      <c r="AW191" s="118">
        <f t="shared" si="107"/>
        <v>0</v>
      </c>
      <c r="AX191" s="118">
        <f t="shared" si="107"/>
        <v>0</v>
      </c>
      <c r="AY191" s="118">
        <f t="shared" si="107"/>
        <v>0</v>
      </c>
      <c r="AZ191" s="118">
        <f t="shared" si="107"/>
        <v>0</v>
      </c>
      <c r="BA191" s="118">
        <f t="shared" si="107"/>
        <v>0</v>
      </c>
      <c r="BB191" s="118">
        <f t="shared" si="107"/>
        <v>0</v>
      </c>
      <c r="BC191" s="118">
        <f t="shared" si="107"/>
        <v>0</v>
      </c>
      <c r="BD191" s="8"/>
      <c r="BE191" s="8"/>
    </row>
    <row r="192" spans="1:57">
      <c r="A192" s="2"/>
      <c r="B192" s="8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2"/>
      <c r="P192" s="3" t="s">
        <v>485</v>
      </c>
      <c r="Q192" s="2" t="s">
        <v>488</v>
      </c>
      <c r="R192" s="118">
        <f t="shared" si="105"/>
        <v>0</v>
      </c>
      <c r="S192" s="118">
        <f t="shared" si="105"/>
        <v>0</v>
      </c>
      <c r="T192" s="118">
        <f t="shared" si="105"/>
        <v>0</v>
      </c>
      <c r="U192" s="118">
        <f t="shared" si="105"/>
        <v>0</v>
      </c>
      <c r="V192" s="118">
        <f t="shared" si="105"/>
        <v>0</v>
      </c>
      <c r="W192" s="118">
        <f t="shared" si="105"/>
        <v>0</v>
      </c>
      <c r="X192" s="118">
        <f t="shared" si="105"/>
        <v>0</v>
      </c>
      <c r="Y192" s="118">
        <f t="shared" si="105"/>
        <v>0</v>
      </c>
      <c r="Z192" s="118">
        <f t="shared" si="105"/>
        <v>0</v>
      </c>
      <c r="AA192" s="118">
        <f t="shared" si="105"/>
        <v>0</v>
      </c>
      <c r="AB192" s="118">
        <f t="shared" si="105"/>
        <v>0</v>
      </c>
      <c r="AC192" s="118">
        <f t="shared" si="105"/>
        <v>0</v>
      </c>
      <c r="AD192" s="119"/>
      <c r="AE192" s="116">
        <f t="shared" si="106"/>
        <v>0</v>
      </c>
      <c r="AF192" s="116">
        <f t="shared" si="106"/>
        <v>0</v>
      </c>
      <c r="AG192" s="116">
        <f t="shared" si="106"/>
        <v>0</v>
      </c>
      <c r="AH192" s="116">
        <f t="shared" si="106"/>
        <v>0</v>
      </c>
      <c r="AI192" s="116">
        <f t="shared" si="106"/>
        <v>0</v>
      </c>
      <c r="AJ192" s="116">
        <f t="shared" si="106"/>
        <v>0</v>
      </c>
      <c r="AK192" s="116">
        <f t="shared" si="106"/>
        <v>0</v>
      </c>
      <c r="AL192" s="116">
        <f t="shared" si="106"/>
        <v>0</v>
      </c>
      <c r="AM192" s="116">
        <f t="shared" si="106"/>
        <v>0</v>
      </c>
      <c r="AN192" s="116">
        <f t="shared" si="106"/>
        <v>0</v>
      </c>
      <c r="AO192" s="116">
        <f t="shared" si="106"/>
        <v>0</v>
      </c>
      <c r="AP192" s="116">
        <f t="shared" si="106"/>
        <v>0</v>
      </c>
      <c r="AQ192" s="117">
        <f>IFERROR(AE192*1000/12/(1+BC$31)/R192,0)</f>
        <v>0</v>
      </c>
      <c r="AR192" s="118">
        <f t="shared" si="107"/>
        <v>0</v>
      </c>
      <c r="AS192" s="118">
        <f t="shared" si="107"/>
        <v>0</v>
      </c>
      <c r="AT192" s="118">
        <f t="shared" si="107"/>
        <v>0</v>
      </c>
      <c r="AU192" s="118">
        <f t="shared" si="107"/>
        <v>0</v>
      </c>
      <c r="AV192" s="118">
        <f t="shared" si="107"/>
        <v>0</v>
      </c>
      <c r="AW192" s="118">
        <f t="shared" si="107"/>
        <v>0</v>
      </c>
      <c r="AX192" s="118">
        <f t="shared" si="107"/>
        <v>0</v>
      </c>
      <c r="AY192" s="118">
        <f t="shared" si="107"/>
        <v>0</v>
      </c>
      <c r="AZ192" s="118">
        <f t="shared" si="107"/>
        <v>0</v>
      </c>
      <c r="BA192" s="118">
        <f t="shared" si="107"/>
        <v>0</v>
      </c>
      <c r="BB192" s="118">
        <f t="shared" si="107"/>
        <v>0</v>
      </c>
      <c r="BC192" s="118">
        <f t="shared" si="107"/>
        <v>0</v>
      </c>
      <c r="BD192" s="8"/>
      <c r="BE192" s="8"/>
    </row>
    <row r="193" spans="1:57">
      <c r="A193" s="2"/>
      <c r="B193" s="8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2"/>
      <c r="P193" s="3" t="s">
        <v>486</v>
      </c>
      <c r="Q193" s="2" t="s">
        <v>489</v>
      </c>
      <c r="R193" s="118">
        <f t="shared" si="105"/>
        <v>0</v>
      </c>
      <c r="S193" s="118">
        <f t="shared" si="105"/>
        <v>0</v>
      </c>
      <c r="T193" s="118">
        <f t="shared" si="105"/>
        <v>0</v>
      </c>
      <c r="U193" s="118">
        <f t="shared" si="105"/>
        <v>0</v>
      </c>
      <c r="V193" s="118">
        <f t="shared" si="105"/>
        <v>0</v>
      </c>
      <c r="W193" s="118">
        <f t="shared" si="105"/>
        <v>0</v>
      </c>
      <c r="X193" s="118">
        <f t="shared" si="105"/>
        <v>0</v>
      </c>
      <c r="Y193" s="118">
        <f t="shared" si="105"/>
        <v>0</v>
      </c>
      <c r="Z193" s="118">
        <f t="shared" si="105"/>
        <v>0</v>
      </c>
      <c r="AA193" s="118">
        <f t="shared" si="105"/>
        <v>0</v>
      </c>
      <c r="AB193" s="118">
        <f t="shared" si="105"/>
        <v>0</v>
      </c>
      <c r="AC193" s="118">
        <f t="shared" si="105"/>
        <v>0</v>
      </c>
      <c r="AD193" s="119"/>
      <c r="AE193" s="116">
        <f t="shared" si="106"/>
        <v>0</v>
      </c>
      <c r="AF193" s="116">
        <f t="shared" si="106"/>
        <v>0</v>
      </c>
      <c r="AG193" s="116">
        <f t="shared" si="106"/>
        <v>0</v>
      </c>
      <c r="AH193" s="116">
        <f t="shared" si="106"/>
        <v>0</v>
      </c>
      <c r="AI193" s="116">
        <f t="shared" si="106"/>
        <v>0</v>
      </c>
      <c r="AJ193" s="116">
        <f t="shared" si="106"/>
        <v>0</v>
      </c>
      <c r="AK193" s="116">
        <f t="shared" si="106"/>
        <v>0</v>
      </c>
      <c r="AL193" s="116">
        <f t="shared" si="106"/>
        <v>0</v>
      </c>
      <c r="AM193" s="116">
        <f t="shared" si="106"/>
        <v>0</v>
      </c>
      <c r="AN193" s="116">
        <f t="shared" si="106"/>
        <v>0</v>
      </c>
      <c r="AO193" s="116">
        <f t="shared" si="106"/>
        <v>0</v>
      </c>
      <c r="AP193" s="116">
        <f t="shared" si="106"/>
        <v>0</v>
      </c>
      <c r="AQ193" s="117">
        <f>IFERROR(AE193*1000/12/(1+BC$31)/R193,0)</f>
        <v>0</v>
      </c>
      <c r="AR193" s="118">
        <f t="shared" si="107"/>
        <v>0</v>
      </c>
      <c r="AS193" s="118">
        <f t="shared" si="107"/>
        <v>0</v>
      </c>
      <c r="AT193" s="118">
        <f t="shared" si="107"/>
        <v>0</v>
      </c>
      <c r="AU193" s="118">
        <f t="shared" si="107"/>
        <v>0</v>
      </c>
      <c r="AV193" s="118">
        <f t="shared" si="107"/>
        <v>0</v>
      </c>
      <c r="AW193" s="118">
        <f t="shared" si="107"/>
        <v>0</v>
      </c>
      <c r="AX193" s="118">
        <f t="shared" si="107"/>
        <v>0</v>
      </c>
      <c r="AY193" s="118">
        <f t="shared" si="107"/>
        <v>0</v>
      </c>
      <c r="AZ193" s="118">
        <f t="shared" si="107"/>
        <v>0</v>
      </c>
      <c r="BA193" s="118">
        <f t="shared" si="107"/>
        <v>0</v>
      </c>
      <c r="BB193" s="118">
        <f t="shared" si="107"/>
        <v>0</v>
      </c>
      <c r="BC193" s="118">
        <f t="shared" si="107"/>
        <v>0</v>
      </c>
      <c r="BD193" s="8"/>
      <c r="BE193" s="8"/>
    </row>
  </sheetData>
  <mergeCells count="60">
    <mergeCell ref="A171:B171"/>
    <mergeCell ref="AP29:AR29"/>
    <mergeCell ref="AS29:AX29"/>
    <mergeCell ref="C30:C31"/>
    <mergeCell ref="D30:N30"/>
    <mergeCell ref="O30:O31"/>
    <mergeCell ref="P30:Z30"/>
    <mergeCell ref="AD30:AH30"/>
    <mergeCell ref="AI30:AJ30"/>
    <mergeCell ref="AK30:AL30"/>
    <mergeCell ref="AM30:AO30"/>
    <mergeCell ref="AP30:AP31"/>
    <mergeCell ref="AR30:AR31"/>
    <mergeCell ref="AT30:AT31"/>
    <mergeCell ref="BB29:BB31"/>
    <mergeCell ref="BC29:BC30"/>
    <mergeCell ref="BD29:BD31"/>
    <mergeCell ref="A167:B167"/>
    <mergeCell ref="A169:B169"/>
    <mergeCell ref="A29:A31"/>
    <mergeCell ref="B29:B31"/>
    <mergeCell ref="C29:N29"/>
    <mergeCell ref="O29:Z29"/>
    <mergeCell ref="AA29:AA31"/>
    <mergeCell ref="D20:P20"/>
    <mergeCell ref="D21:P21"/>
    <mergeCell ref="AU30:AX30"/>
    <mergeCell ref="BA30:BA31"/>
    <mergeCell ref="D26:P26"/>
    <mergeCell ref="AB29:AB30"/>
    <mergeCell ref="AC29:AC31"/>
    <mergeCell ref="AD29:AO29"/>
    <mergeCell ref="AY29:AY31"/>
    <mergeCell ref="AZ29:BA29"/>
    <mergeCell ref="D22:P22"/>
    <mergeCell ref="D23:P23"/>
    <mergeCell ref="D24:P24"/>
    <mergeCell ref="D25:P25"/>
    <mergeCell ref="D17:P17"/>
    <mergeCell ref="D8:P8"/>
    <mergeCell ref="D9:P9"/>
    <mergeCell ref="D10:P10"/>
    <mergeCell ref="D11:P11"/>
    <mergeCell ref="D12:P12"/>
    <mergeCell ref="D18:P18"/>
    <mergeCell ref="D19:P19"/>
    <mergeCell ref="D7:P7"/>
    <mergeCell ref="D6:P6"/>
    <mergeCell ref="BB1:BD1"/>
    <mergeCell ref="R3:R4"/>
    <mergeCell ref="S3:AC3"/>
    <mergeCell ref="AD3:AD4"/>
    <mergeCell ref="AE3:AE4"/>
    <mergeCell ref="AF3:AP3"/>
    <mergeCell ref="AR3:AR4"/>
    <mergeCell ref="AS3:BC3"/>
    <mergeCell ref="D13:P13"/>
    <mergeCell ref="D14:P14"/>
    <mergeCell ref="D15:P15"/>
    <mergeCell ref="D16:P1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9"/>
  <sheetViews>
    <sheetView topLeftCell="A7" workbookViewId="0">
      <selection activeCell="C17" sqref="C17"/>
    </sheetView>
  </sheetViews>
  <sheetFormatPr defaultColWidth="9" defaultRowHeight="16.8"/>
  <cols>
    <col min="1" max="1" width="7" style="74" customWidth="1"/>
    <col min="2" max="2" width="23.19921875" style="44" customWidth="1"/>
    <col min="3" max="3" width="12.296875" style="44" customWidth="1"/>
    <col min="4" max="4" width="11.69921875" style="44" customWidth="1"/>
    <col min="5" max="5" width="8.3984375" style="44" customWidth="1"/>
    <col min="6" max="6" width="10.09765625" style="44" customWidth="1"/>
    <col min="7" max="7" width="12.69921875" style="44" customWidth="1"/>
    <col min="8" max="8" width="7.3984375" style="44" customWidth="1"/>
    <col min="9" max="9" width="7.69921875" style="44" customWidth="1"/>
    <col min="10" max="10" width="7.796875" style="44" customWidth="1"/>
    <col min="11" max="11" width="9.796875" style="44" customWidth="1"/>
    <col min="12" max="12" width="9.09765625" style="44" customWidth="1"/>
    <col min="13" max="13" width="8.3984375" style="44" customWidth="1"/>
    <col min="14" max="14" width="9.69921875" style="44" customWidth="1"/>
    <col min="15" max="15" width="12.19921875" style="44" customWidth="1"/>
    <col min="16" max="17" width="5.09765625" style="44" customWidth="1"/>
    <col min="18" max="18" width="6.296875" style="44" customWidth="1"/>
    <col min="19" max="19" width="7.09765625" style="44" customWidth="1"/>
    <col min="20" max="16384" width="9" style="44"/>
  </cols>
  <sheetData>
    <row r="1" spans="1:19" ht="45.6" customHeight="1">
      <c r="N1" s="529" t="s">
        <v>350</v>
      </c>
      <c r="O1" s="530"/>
      <c r="P1" s="530"/>
      <c r="Q1" s="530"/>
      <c r="R1" s="530"/>
      <c r="S1" s="530"/>
    </row>
    <row r="2" spans="1:19">
      <c r="G2" s="45"/>
      <c r="O2" s="45"/>
    </row>
    <row r="3" spans="1:19">
      <c r="A3" s="44"/>
      <c r="D3" s="531" t="s">
        <v>113</v>
      </c>
      <c r="E3" s="531"/>
      <c r="F3" s="531"/>
      <c r="G3" s="460"/>
      <c r="H3" s="460"/>
      <c r="I3" s="460"/>
      <c r="J3" s="460"/>
      <c r="K3" s="460"/>
    </row>
    <row r="4" spans="1:19">
      <c r="A4" s="537" t="s">
        <v>96</v>
      </c>
      <c r="B4" s="537"/>
      <c r="C4" s="74"/>
      <c r="S4" s="44" t="s">
        <v>354</v>
      </c>
    </row>
    <row r="5" spans="1:19">
      <c r="A5" s="539" t="s">
        <v>2</v>
      </c>
      <c r="B5" s="539" t="s">
        <v>90</v>
      </c>
      <c r="C5" s="539" t="s">
        <v>105</v>
      </c>
      <c r="D5" s="538" t="s">
        <v>161</v>
      </c>
      <c r="E5" s="538"/>
      <c r="F5" s="538"/>
      <c r="G5" s="538"/>
      <c r="H5" s="538" t="s">
        <v>165</v>
      </c>
      <c r="I5" s="538"/>
      <c r="J5" s="538"/>
      <c r="K5" s="538"/>
      <c r="L5" s="532" t="s">
        <v>163</v>
      </c>
      <c r="M5" s="533"/>
      <c r="N5" s="533"/>
      <c r="O5" s="534"/>
      <c r="P5" s="532" t="s">
        <v>353</v>
      </c>
      <c r="Q5" s="533"/>
      <c r="R5" s="533"/>
      <c r="S5" s="534"/>
    </row>
    <row r="6" spans="1:19" s="393" customFormat="1" ht="85.2" customHeight="1">
      <c r="A6" s="539"/>
      <c r="B6" s="539"/>
      <c r="C6" s="539"/>
      <c r="D6" s="392" t="s">
        <v>91</v>
      </c>
      <c r="E6" s="392" t="s">
        <v>92</v>
      </c>
      <c r="F6" s="392" t="s">
        <v>139</v>
      </c>
      <c r="G6" s="392" t="s">
        <v>4</v>
      </c>
      <c r="H6" s="392" t="s">
        <v>91</v>
      </c>
      <c r="I6" s="392" t="s">
        <v>92</v>
      </c>
      <c r="J6" s="392" t="s">
        <v>104</v>
      </c>
      <c r="K6" s="392" t="s">
        <v>4</v>
      </c>
      <c r="L6" s="392" t="s">
        <v>91</v>
      </c>
      <c r="M6" s="392" t="s">
        <v>92</v>
      </c>
      <c r="N6" s="392" t="s">
        <v>104</v>
      </c>
      <c r="O6" s="392" t="s">
        <v>4</v>
      </c>
      <c r="P6" s="392" t="s">
        <v>91</v>
      </c>
      <c r="Q6" s="392" t="s">
        <v>92</v>
      </c>
      <c r="R6" s="392" t="s">
        <v>104</v>
      </c>
      <c r="S6" s="392" t="s">
        <v>4</v>
      </c>
    </row>
    <row r="7" spans="1:19">
      <c r="A7" s="52">
        <v>212</v>
      </c>
      <c r="B7" s="75" t="s">
        <v>102</v>
      </c>
      <c r="C7" s="53">
        <f>G7+K7+O7</f>
        <v>7000</v>
      </c>
      <c r="D7" s="53">
        <v>700</v>
      </c>
      <c r="E7" s="53">
        <v>10</v>
      </c>
      <c r="F7" s="53">
        <v>5</v>
      </c>
      <c r="G7" s="53">
        <f>D7*E7</f>
        <v>7000</v>
      </c>
      <c r="H7" s="53"/>
      <c r="I7" s="53"/>
      <c r="J7" s="53"/>
      <c r="K7" s="53">
        <f>H7*I7</f>
        <v>0</v>
      </c>
      <c r="L7" s="53"/>
      <c r="M7" s="53"/>
      <c r="N7" s="53"/>
      <c r="O7" s="53">
        <f>L7*M7</f>
        <v>0</v>
      </c>
      <c r="P7" s="53"/>
      <c r="Q7" s="53"/>
      <c r="R7" s="53"/>
      <c r="S7" s="53">
        <f>P7*Q7</f>
        <v>0</v>
      </c>
    </row>
    <row r="8" spans="1:19" ht="50.4">
      <c r="A8" s="76">
        <v>214</v>
      </c>
      <c r="B8" s="77" t="s">
        <v>98</v>
      </c>
      <c r="C8" s="53">
        <f>G8+K8+O8</f>
        <v>0</v>
      </c>
      <c r="D8" s="78"/>
      <c r="E8" s="78"/>
      <c r="F8" s="78" t="s">
        <v>6</v>
      </c>
      <c r="G8" s="53">
        <f>D8*E8</f>
        <v>0</v>
      </c>
      <c r="H8" s="78"/>
      <c r="I8" s="78"/>
      <c r="J8" s="78" t="s">
        <v>6</v>
      </c>
      <c r="K8" s="53">
        <f>H8*I8</f>
        <v>0</v>
      </c>
      <c r="L8" s="78"/>
      <c r="M8" s="78"/>
      <c r="N8" s="78" t="s">
        <v>6</v>
      </c>
      <c r="O8" s="53">
        <f>L8*M8</f>
        <v>0</v>
      </c>
      <c r="P8" s="78"/>
      <c r="Q8" s="78"/>
      <c r="R8" s="78" t="s">
        <v>6</v>
      </c>
      <c r="S8" s="53">
        <f>P8*Q8</f>
        <v>0</v>
      </c>
    </row>
    <row r="9" spans="1:19">
      <c r="A9" s="76">
        <v>222</v>
      </c>
      <c r="B9" s="79" t="s">
        <v>97</v>
      </c>
      <c r="C9" s="53">
        <f>C10</f>
        <v>80000</v>
      </c>
      <c r="D9" s="78">
        <f>D10</f>
        <v>40000</v>
      </c>
      <c r="E9" s="78">
        <f t="shared" ref="E9:G9" si="0">E10</f>
        <v>2</v>
      </c>
      <c r="F9" s="78" t="str">
        <f t="shared" si="0"/>
        <v>х</v>
      </c>
      <c r="G9" s="78">
        <f t="shared" si="0"/>
        <v>80000</v>
      </c>
      <c r="H9" s="78">
        <f>H10</f>
        <v>0</v>
      </c>
      <c r="I9" s="78">
        <f t="shared" ref="I9" si="1">I10</f>
        <v>0</v>
      </c>
      <c r="J9" s="78" t="str">
        <f t="shared" ref="J9" si="2">J10</f>
        <v>х</v>
      </c>
      <c r="K9" s="78">
        <f t="shared" ref="K9" si="3">K10</f>
        <v>0</v>
      </c>
      <c r="L9" s="78">
        <f>L10</f>
        <v>0</v>
      </c>
      <c r="M9" s="78">
        <f t="shared" ref="M9:S9" si="4">M10</f>
        <v>0</v>
      </c>
      <c r="N9" s="78" t="str">
        <f t="shared" si="4"/>
        <v>х</v>
      </c>
      <c r="O9" s="78">
        <f t="shared" si="4"/>
        <v>0</v>
      </c>
      <c r="P9" s="78">
        <f>P10</f>
        <v>0</v>
      </c>
      <c r="Q9" s="78">
        <f t="shared" si="4"/>
        <v>0</v>
      </c>
      <c r="R9" s="78" t="str">
        <f t="shared" si="4"/>
        <v>х</v>
      </c>
      <c r="S9" s="78">
        <f t="shared" si="4"/>
        <v>0</v>
      </c>
    </row>
    <row r="10" spans="1:19">
      <c r="A10" s="64"/>
      <c r="B10" s="65"/>
      <c r="C10" s="71">
        <f>G10+K10+O10</f>
        <v>80000</v>
      </c>
      <c r="D10" s="71">
        <v>40000</v>
      </c>
      <c r="E10" s="64">
        <v>2</v>
      </c>
      <c r="F10" s="64" t="s">
        <v>6</v>
      </c>
      <c r="G10" s="71">
        <f>D10*E10</f>
        <v>80000</v>
      </c>
      <c r="H10" s="71"/>
      <c r="I10" s="64"/>
      <c r="J10" s="64" t="s">
        <v>6</v>
      </c>
      <c r="K10" s="71">
        <f>H10*I10</f>
        <v>0</v>
      </c>
      <c r="L10" s="71"/>
      <c r="M10" s="64"/>
      <c r="N10" s="64" t="s">
        <v>6</v>
      </c>
      <c r="O10" s="71">
        <f>L10*M10</f>
        <v>0</v>
      </c>
      <c r="P10" s="71"/>
      <c r="Q10" s="64"/>
      <c r="R10" s="64" t="s">
        <v>6</v>
      </c>
      <c r="S10" s="71">
        <f>P10*Q10</f>
        <v>0</v>
      </c>
    </row>
    <row r="11" spans="1:19">
      <c r="A11" s="76">
        <v>226</v>
      </c>
      <c r="B11" s="77" t="s">
        <v>99</v>
      </c>
      <c r="C11" s="80">
        <f>SUM(C12:C14)</f>
        <v>55000</v>
      </c>
      <c r="D11" s="80" t="s">
        <v>6</v>
      </c>
      <c r="E11" s="80" t="s">
        <v>6</v>
      </c>
      <c r="F11" s="80">
        <f t="shared" ref="F11:K11" si="5">SUM(F12:F14)</f>
        <v>3</v>
      </c>
      <c r="G11" s="80">
        <f t="shared" si="5"/>
        <v>55000</v>
      </c>
      <c r="H11" s="80">
        <f t="shared" si="5"/>
        <v>0</v>
      </c>
      <c r="I11" s="80">
        <f t="shared" si="5"/>
        <v>0</v>
      </c>
      <c r="J11" s="80">
        <f t="shared" si="5"/>
        <v>0</v>
      </c>
      <c r="K11" s="80">
        <f t="shared" si="5"/>
        <v>0</v>
      </c>
      <c r="L11" s="80">
        <f t="shared" ref="L11:O11" si="6">SUM(L12:L14)</f>
        <v>0</v>
      </c>
      <c r="M11" s="80">
        <f t="shared" si="6"/>
        <v>0</v>
      </c>
      <c r="N11" s="80">
        <f t="shared" si="6"/>
        <v>0</v>
      </c>
      <c r="O11" s="80">
        <f t="shared" si="6"/>
        <v>0</v>
      </c>
      <c r="P11" s="80">
        <f t="shared" ref="P11:S11" si="7">SUM(P12:P14)</f>
        <v>0</v>
      </c>
      <c r="Q11" s="80">
        <f t="shared" si="7"/>
        <v>0</v>
      </c>
      <c r="R11" s="80">
        <f t="shared" si="7"/>
        <v>0</v>
      </c>
      <c r="S11" s="80">
        <f t="shared" si="7"/>
        <v>0</v>
      </c>
    </row>
    <row r="12" spans="1:19" ht="33.6">
      <c r="A12" s="64"/>
      <c r="B12" s="81" t="s">
        <v>103</v>
      </c>
      <c r="C12" s="82">
        <f>G12+K12+O12</f>
        <v>10000</v>
      </c>
      <c r="D12" s="71">
        <v>2000</v>
      </c>
      <c r="E12" s="64">
        <v>5</v>
      </c>
      <c r="F12" s="64" t="s">
        <v>6</v>
      </c>
      <c r="G12" s="71">
        <f>D12*E12</f>
        <v>10000</v>
      </c>
      <c r="H12" s="71"/>
      <c r="I12" s="64"/>
      <c r="J12" s="64" t="s">
        <v>6</v>
      </c>
      <c r="K12" s="71">
        <f>H12*I12</f>
        <v>0</v>
      </c>
      <c r="L12" s="71"/>
      <c r="M12" s="64"/>
      <c r="N12" s="64" t="s">
        <v>6</v>
      </c>
      <c r="O12" s="71">
        <f>L12*M12</f>
        <v>0</v>
      </c>
      <c r="P12" s="71"/>
      <c r="Q12" s="64"/>
      <c r="R12" s="64" t="s">
        <v>6</v>
      </c>
      <c r="S12" s="71">
        <f>P12*Q12</f>
        <v>0</v>
      </c>
    </row>
    <row r="13" spans="1:19" ht="33.6">
      <c r="A13" s="64"/>
      <c r="B13" s="81" t="s">
        <v>100</v>
      </c>
      <c r="C13" s="82">
        <f t="shared" ref="C13:C14" si="8">G13+K13+O13</f>
        <v>45000</v>
      </c>
      <c r="D13" s="71">
        <v>3000</v>
      </c>
      <c r="E13" s="64">
        <v>5</v>
      </c>
      <c r="F13" s="64">
        <v>3</v>
      </c>
      <c r="G13" s="71">
        <f>D13*E13*F13</f>
        <v>45000</v>
      </c>
      <c r="H13" s="71"/>
      <c r="I13" s="64"/>
      <c r="J13" s="64"/>
      <c r="K13" s="71">
        <f>H13*I13*J13</f>
        <v>0</v>
      </c>
      <c r="L13" s="71"/>
      <c r="M13" s="64"/>
      <c r="N13" s="64"/>
      <c r="O13" s="71">
        <f>L13*M13*N13</f>
        <v>0</v>
      </c>
      <c r="P13" s="71"/>
      <c r="Q13" s="64"/>
      <c r="R13" s="64"/>
      <c r="S13" s="71">
        <f>P13*Q13*R13</f>
        <v>0</v>
      </c>
    </row>
    <row r="14" spans="1:19" ht="67.2">
      <c r="A14" s="64"/>
      <c r="B14" s="81" t="s">
        <v>101</v>
      </c>
      <c r="C14" s="82">
        <f t="shared" si="8"/>
        <v>0</v>
      </c>
      <c r="D14" s="71">
        <v>3000</v>
      </c>
      <c r="E14" s="64">
        <v>0</v>
      </c>
      <c r="F14" s="64" t="s">
        <v>6</v>
      </c>
      <c r="G14" s="71">
        <f>D14*E14</f>
        <v>0</v>
      </c>
      <c r="H14" s="71"/>
      <c r="I14" s="64"/>
      <c r="J14" s="64" t="s">
        <v>6</v>
      </c>
      <c r="K14" s="71">
        <f>H14*I14</f>
        <v>0</v>
      </c>
      <c r="L14" s="71"/>
      <c r="M14" s="64"/>
      <c r="N14" s="64" t="s">
        <v>6</v>
      </c>
      <c r="O14" s="71">
        <f>L14*M14</f>
        <v>0</v>
      </c>
      <c r="P14" s="71"/>
      <c r="Q14" s="64"/>
      <c r="R14" s="64" t="s">
        <v>6</v>
      </c>
      <c r="S14" s="71">
        <f>P14*Q14</f>
        <v>0</v>
      </c>
    </row>
    <row r="15" spans="1:19">
      <c r="A15" s="76">
        <v>266</v>
      </c>
      <c r="B15" s="83"/>
      <c r="C15" s="78">
        <f>C16</f>
        <v>443645.3</v>
      </c>
      <c r="D15" s="76" t="s">
        <v>6</v>
      </c>
      <c r="E15" s="78">
        <f t="shared" ref="E15:S15" si="9">E16</f>
        <v>110</v>
      </c>
      <c r="F15" s="78" t="s">
        <v>6</v>
      </c>
      <c r="G15" s="78">
        <f t="shared" si="9"/>
        <v>440000</v>
      </c>
      <c r="H15" s="78">
        <f t="shared" si="9"/>
        <v>0</v>
      </c>
      <c r="I15" s="78">
        <f t="shared" si="9"/>
        <v>0</v>
      </c>
      <c r="J15" s="78" t="str">
        <f t="shared" si="9"/>
        <v>х</v>
      </c>
      <c r="K15" s="78">
        <f t="shared" si="9"/>
        <v>0</v>
      </c>
      <c r="L15" s="78">
        <f t="shared" si="9"/>
        <v>0</v>
      </c>
      <c r="M15" s="78">
        <f t="shared" si="9"/>
        <v>0</v>
      </c>
      <c r="N15" s="78" t="str">
        <f t="shared" si="9"/>
        <v>х</v>
      </c>
      <c r="O15" s="78">
        <f t="shared" si="9"/>
        <v>0</v>
      </c>
      <c r="P15" s="78">
        <f t="shared" si="9"/>
        <v>0</v>
      </c>
      <c r="Q15" s="78">
        <f t="shared" si="9"/>
        <v>0</v>
      </c>
      <c r="R15" s="78" t="str">
        <f t="shared" si="9"/>
        <v>х</v>
      </c>
      <c r="S15" s="78">
        <f t="shared" si="9"/>
        <v>0</v>
      </c>
    </row>
    <row r="16" spans="1:19">
      <c r="A16" s="64"/>
      <c r="B16" s="67"/>
      <c r="C16" s="82">
        <v>443645.3</v>
      </c>
      <c r="D16" s="67">
        <v>4000</v>
      </c>
      <c r="E16" s="67">
        <v>110</v>
      </c>
      <c r="F16" s="64" t="s">
        <v>6</v>
      </c>
      <c r="G16" s="71">
        <f>D16*E16</f>
        <v>440000</v>
      </c>
      <c r="H16" s="67"/>
      <c r="I16" s="67"/>
      <c r="J16" s="64" t="s">
        <v>6</v>
      </c>
      <c r="K16" s="67"/>
      <c r="L16" s="67"/>
      <c r="M16" s="67"/>
      <c r="N16" s="64" t="s">
        <v>6</v>
      </c>
      <c r="O16" s="67"/>
      <c r="P16" s="67"/>
      <c r="Q16" s="67"/>
      <c r="R16" s="64" t="s">
        <v>6</v>
      </c>
      <c r="S16" s="67"/>
    </row>
    <row r="17" spans="1:19">
      <c r="A17" s="76">
        <v>267</v>
      </c>
      <c r="B17" s="83"/>
      <c r="C17" s="78">
        <f>C18</f>
        <v>0</v>
      </c>
      <c r="D17" s="76" t="s">
        <v>6</v>
      </c>
      <c r="E17" s="78">
        <f t="shared" ref="E17:S17" si="10">E18</f>
        <v>0</v>
      </c>
      <c r="F17" s="78" t="s">
        <v>6</v>
      </c>
      <c r="G17" s="78">
        <f t="shared" si="10"/>
        <v>0</v>
      </c>
      <c r="H17" s="78">
        <f t="shared" si="10"/>
        <v>0</v>
      </c>
      <c r="I17" s="78">
        <f t="shared" si="10"/>
        <v>0</v>
      </c>
      <c r="J17" s="78" t="str">
        <f t="shared" si="10"/>
        <v>х</v>
      </c>
      <c r="K17" s="78">
        <f t="shared" si="10"/>
        <v>0</v>
      </c>
      <c r="L17" s="78">
        <f t="shared" si="10"/>
        <v>0</v>
      </c>
      <c r="M17" s="78">
        <f t="shared" si="10"/>
        <v>0</v>
      </c>
      <c r="N17" s="78" t="str">
        <f t="shared" si="10"/>
        <v>х</v>
      </c>
      <c r="O17" s="78">
        <f t="shared" si="10"/>
        <v>0</v>
      </c>
      <c r="P17" s="78">
        <f t="shared" si="10"/>
        <v>0</v>
      </c>
      <c r="Q17" s="78">
        <f t="shared" si="10"/>
        <v>0</v>
      </c>
      <c r="R17" s="78" t="str">
        <f t="shared" si="10"/>
        <v>х</v>
      </c>
      <c r="S17" s="78">
        <f t="shared" si="10"/>
        <v>0</v>
      </c>
    </row>
    <row r="18" spans="1:19">
      <c r="A18" s="64"/>
      <c r="B18" s="67"/>
      <c r="C18" s="82">
        <f>G18+K18+O18</f>
        <v>0</v>
      </c>
      <c r="D18" s="67"/>
      <c r="E18" s="67"/>
      <c r="F18" s="64" t="s">
        <v>6</v>
      </c>
      <c r="G18" s="67"/>
      <c r="H18" s="67"/>
      <c r="I18" s="67"/>
      <c r="J18" s="64" t="s">
        <v>6</v>
      </c>
      <c r="K18" s="67"/>
      <c r="L18" s="67"/>
      <c r="M18" s="67"/>
      <c r="N18" s="64" t="s">
        <v>6</v>
      </c>
      <c r="O18" s="67"/>
      <c r="P18" s="67"/>
      <c r="Q18" s="67"/>
      <c r="R18" s="64" t="s">
        <v>6</v>
      </c>
      <c r="S18" s="67"/>
    </row>
    <row r="19" spans="1:19">
      <c r="A19" s="535" t="s">
        <v>138</v>
      </c>
      <c r="B19" s="536"/>
      <c r="C19" s="63">
        <f>SUM(C7,C8,C9,C15,C17)+C11</f>
        <v>585645.30000000005</v>
      </c>
      <c r="D19" s="63" t="s">
        <v>6</v>
      </c>
      <c r="E19" s="63" t="s">
        <v>6</v>
      </c>
      <c r="F19" s="63" t="s">
        <v>6</v>
      </c>
      <c r="G19" s="63">
        <f t="shared" ref="G19:K19" si="11">SUM(G7,G8,G9,G15,G17)</f>
        <v>527000</v>
      </c>
      <c r="H19" s="63">
        <f t="shared" si="11"/>
        <v>0</v>
      </c>
      <c r="I19" s="63">
        <f t="shared" si="11"/>
        <v>0</v>
      </c>
      <c r="J19" s="63">
        <f t="shared" si="11"/>
        <v>0</v>
      </c>
      <c r="K19" s="63">
        <f t="shared" si="11"/>
        <v>0</v>
      </c>
      <c r="L19" s="63">
        <f t="shared" ref="L19:O19" si="12">SUM(L7,L8,L9,L15,L17)</f>
        <v>0</v>
      </c>
      <c r="M19" s="63">
        <f t="shared" si="12"/>
        <v>0</v>
      </c>
      <c r="N19" s="63">
        <f t="shared" si="12"/>
        <v>0</v>
      </c>
      <c r="O19" s="63">
        <f t="shared" si="12"/>
        <v>0</v>
      </c>
      <c r="P19" s="63">
        <f t="shared" ref="P19:S19" si="13">SUM(P7,P8,P9,P15,P17)</f>
        <v>0</v>
      </c>
      <c r="Q19" s="63">
        <f t="shared" si="13"/>
        <v>0</v>
      </c>
      <c r="R19" s="63">
        <f t="shared" si="13"/>
        <v>0</v>
      </c>
      <c r="S19" s="63">
        <f t="shared" si="13"/>
        <v>0</v>
      </c>
    </row>
  </sheetData>
  <mergeCells count="11">
    <mergeCell ref="N1:S1"/>
    <mergeCell ref="D3:K3"/>
    <mergeCell ref="P5:S5"/>
    <mergeCell ref="L5:O5"/>
    <mergeCell ref="A19:B19"/>
    <mergeCell ref="A4:B4"/>
    <mergeCell ref="D5:G5"/>
    <mergeCell ref="H5:K5"/>
    <mergeCell ref="C5:C6"/>
    <mergeCell ref="B5:B6"/>
    <mergeCell ref="A5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4"/>
  <sheetViews>
    <sheetView topLeftCell="A4" workbookViewId="0">
      <selection activeCell="Q14" sqref="Q14"/>
    </sheetView>
  </sheetViews>
  <sheetFormatPr defaultRowHeight="15.6"/>
  <cols>
    <col min="1" max="2" width="37.59765625" customWidth="1"/>
    <col min="3" max="3" width="23.8984375" customWidth="1"/>
    <col min="4" max="4" width="17.19921875" customWidth="1"/>
    <col min="5" max="5" width="19.59765625" customWidth="1"/>
    <col min="6" max="6" width="16.3984375" customWidth="1"/>
    <col min="7" max="7" width="16" customWidth="1"/>
    <col min="8" max="8" width="15.3984375" customWidth="1"/>
    <col min="9" max="9" width="17" customWidth="1"/>
    <col min="10" max="10" width="18.3984375" customWidth="1"/>
    <col min="11" max="11" width="15.19921875" customWidth="1"/>
    <col min="13" max="13" width="12.09765625" customWidth="1"/>
    <col min="14" max="14" width="19" customWidth="1"/>
  </cols>
  <sheetData>
    <row r="1" spans="1:14" ht="152.25" customHeight="1">
      <c r="L1" s="97"/>
      <c r="M1" s="542" t="s">
        <v>350</v>
      </c>
      <c r="N1" s="542"/>
    </row>
    <row r="2" spans="1:14">
      <c r="E2" s="1"/>
      <c r="K2" s="1"/>
    </row>
    <row r="5" spans="1:14">
      <c r="A5" s="84" t="s">
        <v>153</v>
      </c>
      <c r="B5" s="84"/>
      <c r="C5" s="6"/>
      <c r="D5" s="2"/>
      <c r="E5" s="5"/>
      <c r="N5" s="1" t="s">
        <v>167</v>
      </c>
    </row>
    <row r="6" spans="1:14">
      <c r="A6" s="540" t="s">
        <v>150</v>
      </c>
      <c r="B6" s="540" t="s">
        <v>160</v>
      </c>
      <c r="C6" s="520" t="s">
        <v>161</v>
      </c>
      <c r="D6" s="520"/>
      <c r="E6" s="520"/>
      <c r="F6" s="543" t="s">
        <v>162</v>
      </c>
      <c r="G6" s="543"/>
      <c r="H6" s="543"/>
      <c r="I6" s="543" t="s">
        <v>163</v>
      </c>
      <c r="J6" s="543"/>
      <c r="K6" s="543"/>
      <c r="L6" s="543" t="s">
        <v>353</v>
      </c>
      <c r="M6" s="543"/>
      <c r="N6" s="543"/>
    </row>
    <row r="7" spans="1:14" ht="41.4">
      <c r="A7" s="541"/>
      <c r="B7" s="541"/>
      <c r="C7" s="92" t="s">
        <v>133</v>
      </c>
      <c r="D7" s="38" t="s">
        <v>151</v>
      </c>
      <c r="E7" s="93" t="s">
        <v>5</v>
      </c>
      <c r="F7" s="92" t="s">
        <v>133</v>
      </c>
      <c r="G7" s="38" t="s">
        <v>151</v>
      </c>
      <c r="H7" s="93" t="s">
        <v>5</v>
      </c>
      <c r="I7" s="92" t="s">
        <v>133</v>
      </c>
      <c r="J7" s="38" t="s">
        <v>151</v>
      </c>
      <c r="K7" s="93" t="s">
        <v>5</v>
      </c>
      <c r="L7" s="92" t="s">
        <v>133</v>
      </c>
      <c r="M7" s="38" t="s">
        <v>151</v>
      </c>
      <c r="N7" s="93" t="s">
        <v>5</v>
      </c>
    </row>
    <row r="8" spans="1:14" ht="28.2">
      <c r="A8" s="41" t="s">
        <v>147</v>
      </c>
      <c r="B8" s="41"/>
      <c r="C8" s="19"/>
      <c r="D8" s="85">
        <v>0.22</v>
      </c>
      <c r="E8" s="19">
        <f>C8*D8</f>
        <v>0</v>
      </c>
      <c r="F8" s="19"/>
      <c r="G8" s="85">
        <v>0.22</v>
      </c>
      <c r="H8" s="19">
        <f>F8*G8</f>
        <v>0</v>
      </c>
      <c r="I8" s="19"/>
      <c r="J8" s="85">
        <v>0.22</v>
      </c>
      <c r="K8" s="19">
        <f>I8*J8</f>
        <v>0</v>
      </c>
      <c r="L8" s="19"/>
      <c r="M8" s="85">
        <v>0.22</v>
      </c>
      <c r="N8" s="19">
        <f>L8*M8</f>
        <v>0</v>
      </c>
    </row>
    <row r="9" spans="1:14" ht="28.2">
      <c r="A9" s="41" t="s">
        <v>148</v>
      </c>
      <c r="B9" s="41"/>
      <c r="C9" s="19"/>
      <c r="D9" s="86">
        <v>2.9000000000000001E-2</v>
      </c>
      <c r="E9" s="19">
        <f t="shared" ref="E9:E13" si="0">C9*D9</f>
        <v>0</v>
      </c>
      <c r="F9" s="19"/>
      <c r="G9" s="86">
        <v>2.9000000000000001E-2</v>
      </c>
      <c r="H9" s="19">
        <f t="shared" ref="H9:H13" si="1">F9*G9</f>
        <v>0</v>
      </c>
      <c r="I9" s="19"/>
      <c r="J9" s="86">
        <v>2.9000000000000001E-2</v>
      </c>
      <c r="K9" s="19">
        <f t="shared" ref="K9:K13" si="2">I9*J9</f>
        <v>0</v>
      </c>
      <c r="L9" s="19"/>
      <c r="M9" s="86">
        <v>2.9000000000000001E-2</v>
      </c>
      <c r="N9" s="19">
        <f t="shared" ref="N9:N13" si="3">L9*M9</f>
        <v>0</v>
      </c>
    </row>
    <row r="10" spans="1:14" ht="28.2">
      <c r="A10" s="41" t="s">
        <v>149</v>
      </c>
      <c r="B10" s="41"/>
      <c r="C10" s="19"/>
      <c r="D10" s="86">
        <v>5.0999999999999997E-2</v>
      </c>
      <c r="E10" s="19">
        <f t="shared" si="0"/>
        <v>0</v>
      </c>
      <c r="F10" s="19"/>
      <c r="G10" s="86">
        <v>5.0999999999999997E-2</v>
      </c>
      <c r="H10" s="19">
        <f t="shared" si="1"/>
        <v>0</v>
      </c>
      <c r="I10" s="19"/>
      <c r="J10" s="86">
        <v>5.0999999999999997E-2</v>
      </c>
      <c r="K10" s="19">
        <f t="shared" si="2"/>
        <v>0</v>
      </c>
      <c r="L10" s="19"/>
      <c r="M10" s="86">
        <v>5.0999999999999997E-2</v>
      </c>
      <c r="N10" s="19">
        <f t="shared" si="3"/>
        <v>0</v>
      </c>
    </row>
    <row r="11" spans="1:14" ht="42">
      <c r="A11" s="41" t="s">
        <v>558</v>
      </c>
      <c r="B11" s="41"/>
      <c r="C11" s="19"/>
      <c r="D11" s="86">
        <v>2E-3</v>
      </c>
      <c r="E11" s="19">
        <f t="shared" si="0"/>
        <v>0</v>
      </c>
      <c r="F11" s="19"/>
      <c r="G11" s="86">
        <v>2E-3</v>
      </c>
      <c r="H11" s="19">
        <f t="shared" si="1"/>
        <v>0</v>
      </c>
      <c r="I11" s="19"/>
      <c r="J11" s="86">
        <v>2E-3</v>
      </c>
      <c r="K11" s="19">
        <f t="shared" si="2"/>
        <v>0</v>
      </c>
      <c r="L11" s="19"/>
      <c r="M11" s="86">
        <v>2E-3</v>
      </c>
      <c r="N11" s="19">
        <f t="shared" si="3"/>
        <v>0</v>
      </c>
    </row>
    <row r="12" spans="1:14" ht="42">
      <c r="A12" s="41" t="s">
        <v>558</v>
      </c>
      <c r="B12" s="41"/>
      <c r="C12" s="19"/>
      <c r="D12" s="86">
        <v>4.0000000000000001E-3</v>
      </c>
      <c r="E12" s="19">
        <f t="shared" si="0"/>
        <v>0</v>
      </c>
      <c r="F12" s="19"/>
      <c r="G12" s="86">
        <v>4.0000000000000001E-3</v>
      </c>
      <c r="H12" s="19">
        <f t="shared" si="1"/>
        <v>0</v>
      </c>
      <c r="I12" s="19"/>
      <c r="J12" s="86">
        <v>4.0000000000000001E-3</v>
      </c>
      <c r="K12" s="19">
        <f t="shared" si="2"/>
        <v>0</v>
      </c>
      <c r="L12" s="19"/>
      <c r="M12" s="86">
        <v>4.0000000000000001E-3</v>
      </c>
      <c r="N12" s="19">
        <f t="shared" si="3"/>
        <v>0</v>
      </c>
    </row>
    <row r="13" spans="1:14" ht="42">
      <c r="A13" s="41" t="s">
        <v>558</v>
      </c>
      <c r="B13" s="41"/>
      <c r="C13" s="19"/>
      <c r="D13" s="85"/>
      <c r="E13" s="19">
        <f t="shared" si="0"/>
        <v>0</v>
      </c>
      <c r="F13" s="19"/>
      <c r="G13" s="85"/>
      <c r="H13" s="19">
        <f t="shared" si="1"/>
        <v>0</v>
      </c>
      <c r="I13" s="19"/>
      <c r="J13" s="85"/>
      <c r="K13" s="19">
        <f t="shared" si="2"/>
        <v>0</v>
      </c>
      <c r="L13" s="19"/>
      <c r="M13" s="85"/>
      <c r="N13" s="19">
        <f t="shared" si="3"/>
        <v>0</v>
      </c>
    </row>
    <row r="14" spans="1:14">
      <c r="A14" s="87" t="s">
        <v>164</v>
      </c>
      <c r="B14" s="87"/>
      <c r="C14" s="43">
        <f t="shared" ref="C14:K14" si="4">SUM(C8:C13)</f>
        <v>0</v>
      </c>
      <c r="D14" s="42"/>
      <c r="E14" s="43">
        <f t="shared" si="4"/>
        <v>0</v>
      </c>
      <c r="F14" s="43">
        <f t="shared" si="4"/>
        <v>0</v>
      </c>
      <c r="G14" s="90"/>
      <c r="H14" s="43">
        <f t="shared" si="4"/>
        <v>0</v>
      </c>
      <c r="I14" s="43">
        <f t="shared" si="4"/>
        <v>0</v>
      </c>
      <c r="J14" s="90"/>
      <c r="K14" s="43">
        <f t="shared" si="4"/>
        <v>0</v>
      </c>
      <c r="L14" s="43">
        <f t="shared" ref="L14" si="5">SUM(L8:L13)</f>
        <v>0</v>
      </c>
      <c r="M14" s="90"/>
      <c r="N14" s="43">
        <f t="shared" ref="N14" si="6">SUM(N8:N13)</f>
        <v>0</v>
      </c>
    </row>
  </sheetData>
  <mergeCells count="7">
    <mergeCell ref="B6:B7"/>
    <mergeCell ref="A6:A7"/>
    <mergeCell ref="M1:N1"/>
    <mergeCell ref="L6:N6"/>
    <mergeCell ref="C6:E6"/>
    <mergeCell ref="F6:H6"/>
    <mergeCell ref="I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2"/>
  <sheetViews>
    <sheetView topLeftCell="A4" workbookViewId="0">
      <selection activeCell="E14" sqref="E14"/>
    </sheetView>
  </sheetViews>
  <sheetFormatPr defaultColWidth="9" defaultRowHeight="16.8"/>
  <cols>
    <col min="1" max="1" width="9" style="44"/>
    <col min="2" max="2" width="19.19921875" style="44" customWidth="1"/>
    <col min="3" max="3" width="19.8984375" style="44" customWidth="1"/>
    <col min="4" max="4" width="14.59765625" style="44" customWidth="1"/>
    <col min="5" max="5" width="17" style="44" customWidth="1"/>
    <col min="6" max="6" width="19" style="44" customWidth="1"/>
    <col min="7" max="7" width="13.09765625" style="44" customWidth="1"/>
    <col min="8" max="8" width="13.5" style="44" customWidth="1"/>
    <col min="9" max="10" width="12.3984375" style="44" customWidth="1"/>
    <col min="11" max="11" width="10.59765625" style="44" customWidth="1"/>
    <col min="12" max="12" width="12.19921875" style="44" customWidth="1"/>
    <col min="13" max="16384" width="9" style="44"/>
  </cols>
  <sheetData>
    <row r="1" spans="1:15" ht="126.75" customHeight="1">
      <c r="L1" s="542" t="s">
        <v>350</v>
      </c>
      <c r="M1" s="542"/>
      <c r="N1" s="542"/>
      <c r="O1" s="542"/>
    </row>
    <row r="4" spans="1:15">
      <c r="A4" s="545"/>
      <c r="B4" s="545"/>
      <c r="C4" s="545"/>
      <c r="D4" s="545"/>
      <c r="E4" s="545"/>
      <c r="F4" s="545"/>
      <c r="G4" s="545"/>
      <c r="H4" s="545"/>
      <c r="I4" s="545"/>
      <c r="J4" s="545"/>
    </row>
    <row r="5" spans="1:15">
      <c r="A5" s="73"/>
      <c r="L5" s="45"/>
    </row>
    <row r="6" spans="1:15">
      <c r="A6" s="546" t="s">
        <v>145</v>
      </c>
      <c r="B6" s="546"/>
      <c r="C6" s="546"/>
      <c r="D6" s="546"/>
      <c r="E6" s="546"/>
      <c r="F6" s="546"/>
      <c r="G6" s="546"/>
      <c r="H6" s="546"/>
      <c r="I6" s="546"/>
      <c r="J6" s="546"/>
      <c r="K6" s="546"/>
      <c r="L6" s="546"/>
    </row>
    <row r="7" spans="1:15">
      <c r="A7" s="547" t="s">
        <v>140</v>
      </c>
      <c r="B7" s="547"/>
      <c r="C7" s="547"/>
      <c r="D7" s="547"/>
      <c r="E7" s="547"/>
      <c r="F7" s="547"/>
      <c r="G7" s="547"/>
      <c r="H7" s="547"/>
      <c r="I7" s="547"/>
      <c r="J7" s="547"/>
      <c r="K7" s="547"/>
      <c r="L7" s="547"/>
      <c r="O7" s="44" t="s">
        <v>141</v>
      </c>
    </row>
    <row r="8" spans="1:15" ht="37.5" customHeight="1">
      <c r="A8" s="539" t="s">
        <v>2</v>
      </c>
      <c r="B8" s="539" t="s">
        <v>27</v>
      </c>
      <c r="C8" s="539" t="s">
        <v>137</v>
      </c>
      <c r="D8" s="539" t="s">
        <v>9</v>
      </c>
      <c r="E8" s="539"/>
      <c r="F8" s="539"/>
      <c r="G8" s="539"/>
      <c r="H8" s="539"/>
      <c r="I8" s="539"/>
      <c r="J8" s="539"/>
      <c r="K8" s="539"/>
      <c r="L8" s="539"/>
      <c r="M8" s="539"/>
      <c r="N8" s="539"/>
      <c r="O8" s="539"/>
    </row>
    <row r="9" spans="1:15" ht="38.25" customHeight="1">
      <c r="A9" s="539"/>
      <c r="B9" s="539"/>
      <c r="C9" s="539"/>
      <c r="D9" s="548" t="s">
        <v>93</v>
      </c>
      <c r="E9" s="548"/>
      <c r="F9" s="548"/>
      <c r="G9" s="548" t="s">
        <v>142</v>
      </c>
      <c r="H9" s="548"/>
      <c r="I9" s="548"/>
      <c r="J9" s="548" t="s">
        <v>106</v>
      </c>
      <c r="K9" s="548"/>
      <c r="L9" s="548"/>
      <c r="M9" s="548" t="s">
        <v>353</v>
      </c>
      <c r="N9" s="548"/>
      <c r="O9" s="548"/>
    </row>
    <row r="10" spans="1:15" ht="67.2">
      <c r="A10" s="539"/>
      <c r="B10" s="539"/>
      <c r="C10" s="539"/>
      <c r="D10" s="47" t="s">
        <v>28</v>
      </c>
      <c r="E10" s="47" t="s">
        <v>29</v>
      </c>
      <c r="F10" s="47" t="s">
        <v>143</v>
      </c>
      <c r="G10" s="47" t="s">
        <v>28</v>
      </c>
      <c r="H10" s="47" t="s">
        <v>29</v>
      </c>
      <c r="I10" s="47" t="s">
        <v>143</v>
      </c>
      <c r="J10" s="47" t="s">
        <v>28</v>
      </c>
      <c r="K10" s="47" t="s">
        <v>29</v>
      </c>
      <c r="L10" s="47" t="s">
        <v>143</v>
      </c>
      <c r="M10" s="47" t="s">
        <v>28</v>
      </c>
      <c r="N10" s="47" t="s">
        <v>29</v>
      </c>
      <c r="O10" s="47" t="s">
        <v>143</v>
      </c>
    </row>
    <row r="11" spans="1:15">
      <c r="A11" s="47"/>
      <c r="B11" s="47"/>
      <c r="C11" s="47"/>
      <c r="D11" s="67"/>
      <c r="E11" s="67"/>
      <c r="F11" s="67"/>
      <c r="G11" s="64"/>
      <c r="H11" s="64"/>
      <c r="I11" s="64"/>
      <c r="J11" s="67"/>
      <c r="K11" s="67"/>
      <c r="L11" s="67"/>
      <c r="M11" s="67"/>
      <c r="N11" s="67"/>
      <c r="O11" s="67"/>
    </row>
    <row r="12" spans="1:15">
      <c r="A12" s="47"/>
      <c r="B12" s="47"/>
      <c r="C12" s="47"/>
      <c r="D12" s="67"/>
      <c r="E12" s="67"/>
      <c r="F12" s="67"/>
      <c r="G12" s="64"/>
      <c r="H12" s="64"/>
      <c r="I12" s="64"/>
      <c r="J12" s="67"/>
      <c r="K12" s="67"/>
      <c r="L12" s="67"/>
      <c r="M12" s="67"/>
      <c r="N12" s="67"/>
      <c r="O12" s="67"/>
    </row>
    <row r="13" spans="1:15">
      <c r="A13" s="544" t="s">
        <v>89</v>
      </c>
      <c r="B13" s="544"/>
      <c r="C13" s="48"/>
      <c r="D13" s="69"/>
      <c r="E13" s="69"/>
      <c r="F13" s="69"/>
      <c r="G13" s="62"/>
      <c r="H13" s="62"/>
      <c r="I13" s="62"/>
      <c r="J13" s="69"/>
      <c r="K13" s="69"/>
      <c r="L13" s="69"/>
      <c r="M13" s="69"/>
      <c r="N13" s="69"/>
      <c r="O13" s="69"/>
    </row>
    <row r="16" spans="1:15">
      <c r="A16" s="547" t="s">
        <v>144</v>
      </c>
      <c r="B16" s="547"/>
      <c r="C16" s="547"/>
      <c r="D16" s="547"/>
      <c r="E16" s="547"/>
      <c r="F16" s="547"/>
      <c r="G16" s="547"/>
      <c r="H16" s="547"/>
      <c r="I16" s="547"/>
      <c r="J16" s="547"/>
      <c r="K16" s="547"/>
      <c r="L16" s="547"/>
    </row>
    <row r="17" spans="1:15">
      <c r="A17" s="539" t="s">
        <v>2</v>
      </c>
      <c r="B17" s="539" t="s">
        <v>27</v>
      </c>
      <c r="C17" s="539" t="s">
        <v>137</v>
      </c>
      <c r="D17" s="539" t="s">
        <v>9</v>
      </c>
      <c r="E17" s="539"/>
      <c r="F17" s="539"/>
      <c r="G17" s="539"/>
      <c r="H17" s="539"/>
      <c r="I17" s="539"/>
      <c r="J17" s="539"/>
      <c r="K17" s="539"/>
      <c r="L17" s="539"/>
      <c r="M17" s="539"/>
      <c r="N17" s="539"/>
      <c r="O17" s="539"/>
    </row>
    <row r="18" spans="1:15" ht="16.5" customHeight="1">
      <c r="A18" s="539"/>
      <c r="B18" s="539"/>
      <c r="C18" s="539"/>
      <c r="D18" s="548" t="s">
        <v>93</v>
      </c>
      <c r="E18" s="548"/>
      <c r="F18" s="548"/>
      <c r="G18" s="548" t="s">
        <v>142</v>
      </c>
      <c r="H18" s="548"/>
      <c r="I18" s="548"/>
      <c r="J18" s="548" t="s">
        <v>106</v>
      </c>
      <c r="K18" s="548"/>
      <c r="L18" s="548"/>
      <c r="M18" s="548" t="s">
        <v>353</v>
      </c>
      <c r="N18" s="548"/>
      <c r="O18" s="548"/>
    </row>
    <row r="19" spans="1:15" ht="67.2">
      <c r="A19" s="539"/>
      <c r="B19" s="539"/>
      <c r="C19" s="539"/>
      <c r="D19" s="47" t="s">
        <v>28</v>
      </c>
      <c r="E19" s="47" t="s">
        <v>29</v>
      </c>
      <c r="F19" s="47" t="s">
        <v>143</v>
      </c>
      <c r="G19" s="47" t="s">
        <v>28</v>
      </c>
      <c r="H19" s="47" t="s">
        <v>29</v>
      </c>
      <c r="I19" s="47" t="s">
        <v>143</v>
      </c>
      <c r="J19" s="47" t="s">
        <v>28</v>
      </c>
      <c r="K19" s="47" t="s">
        <v>29</v>
      </c>
      <c r="L19" s="47" t="s">
        <v>143</v>
      </c>
      <c r="M19" s="47" t="s">
        <v>28</v>
      </c>
      <c r="N19" s="47" t="s">
        <v>29</v>
      </c>
      <c r="O19" s="47" t="s">
        <v>143</v>
      </c>
    </row>
    <row r="20" spans="1:15">
      <c r="A20" s="47">
        <v>296</v>
      </c>
      <c r="B20" s="47"/>
      <c r="C20" s="47"/>
      <c r="D20" s="64"/>
      <c r="E20" s="64"/>
      <c r="F20" s="64"/>
      <c r="G20" s="64"/>
      <c r="H20" s="64"/>
      <c r="I20" s="64"/>
      <c r="J20" s="67"/>
      <c r="K20" s="67"/>
      <c r="L20" s="67"/>
      <c r="M20" s="67"/>
      <c r="N20" s="67"/>
      <c r="O20" s="67"/>
    </row>
    <row r="21" spans="1:15">
      <c r="A21" s="47"/>
      <c r="B21" s="47"/>
      <c r="C21" s="47"/>
      <c r="D21" s="64"/>
      <c r="E21" s="64"/>
      <c r="F21" s="64"/>
      <c r="G21" s="64"/>
      <c r="H21" s="64"/>
      <c r="I21" s="64"/>
      <c r="J21" s="67"/>
      <c r="K21" s="67"/>
      <c r="L21" s="67"/>
      <c r="M21" s="67"/>
      <c r="N21" s="67"/>
      <c r="O21" s="67"/>
    </row>
    <row r="22" spans="1:15">
      <c r="A22" s="544" t="s">
        <v>89</v>
      </c>
      <c r="B22" s="544"/>
      <c r="C22" s="48"/>
      <c r="D22" s="62"/>
      <c r="E22" s="62"/>
      <c r="F22" s="62"/>
      <c r="G22" s="62"/>
      <c r="H22" s="62"/>
      <c r="I22" s="62"/>
      <c r="J22" s="69"/>
      <c r="K22" s="69"/>
      <c r="L22" s="69"/>
      <c r="M22" s="69"/>
      <c r="N22" s="69"/>
      <c r="O22" s="69"/>
    </row>
  </sheetData>
  <mergeCells count="23">
    <mergeCell ref="L1:O1"/>
    <mergeCell ref="A7:L7"/>
    <mergeCell ref="C8:C10"/>
    <mergeCell ref="M9:O9"/>
    <mergeCell ref="M18:O18"/>
    <mergeCell ref="D17:O17"/>
    <mergeCell ref="D8:O8"/>
    <mergeCell ref="B8:B10"/>
    <mergeCell ref="A8:A10"/>
    <mergeCell ref="A22:B22"/>
    <mergeCell ref="A4:J4"/>
    <mergeCell ref="A6:L6"/>
    <mergeCell ref="A13:B13"/>
    <mergeCell ref="A16:L16"/>
    <mergeCell ref="A17:A19"/>
    <mergeCell ref="B17:B19"/>
    <mergeCell ref="C17:C19"/>
    <mergeCell ref="D18:F18"/>
    <mergeCell ref="G18:I18"/>
    <mergeCell ref="J18:L18"/>
    <mergeCell ref="D9:F9"/>
    <mergeCell ref="G9:I9"/>
    <mergeCell ref="J9:L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5"/>
  <sheetViews>
    <sheetView topLeftCell="A28" workbookViewId="0">
      <selection activeCell="C35" sqref="C35"/>
    </sheetView>
  </sheetViews>
  <sheetFormatPr defaultColWidth="9" defaultRowHeight="16.8"/>
  <cols>
    <col min="1" max="1" width="11.5" style="44" customWidth="1"/>
    <col min="2" max="2" width="22.59765625" style="44" customWidth="1"/>
    <col min="3" max="3" width="16.8984375" style="44" customWidth="1"/>
    <col min="4" max="4" width="14.59765625" style="44" customWidth="1"/>
    <col min="5" max="5" width="16.8984375" style="44" customWidth="1"/>
    <col min="6" max="7" width="15.59765625" style="44" customWidth="1"/>
    <col min="8" max="8" width="16.5" style="44" customWidth="1"/>
    <col min="9" max="9" width="18.59765625" style="44" customWidth="1"/>
    <col min="10" max="10" width="14" style="44" customWidth="1"/>
    <col min="11" max="11" width="16.09765625" style="44" customWidth="1"/>
    <col min="12" max="12" width="10.69921875" style="44" customWidth="1"/>
    <col min="13" max="13" width="11.3984375" style="44" customWidth="1"/>
    <col min="14" max="14" width="9.8984375" style="44" customWidth="1"/>
    <col min="15" max="15" width="11.8984375" style="44" customWidth="1"/>
    <col min="16" max="16384" width="9" style="44"/>
  </cols>
  <sheetData>
    <row r="1" spans="1:15" ht="147.75" customHeight="1">
      <c r="M1" s="542" t="s">
        <v>350</v>
      </c>
      <c r="N1" s="542"/>
      <c r="O1" s="542"/>
    </row>
    <row r="2" spans="1:15">
      <c r="K2" s="45"/>
    </row>
    <row r="4" spans="1:15">
      <c r="A4" s="546" t="s">
        <v>124</v>
      </c>
      <c r="B4" s="546"/>
      <c r="C4" s="546"/>
      <c r="D4" s="546"/>
      <c r="E4" s="546"/>
      <c r="F4" s="546"/>
      <c r="G4" s="546"/>
      <c r="H4" s="546"/>
      <c r="I4" s="546"/>
      <c r="J4" s="546"/>
      <c r="K4" s="546"/>
    </row>
    <row r="5" spans="1: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5">
      <c r="A7" s="145" t="s">
        <v>122</v>
      </c>
      <c r="B7" s="145"/>
      <c r="C7" s="145"/>
      <c r="D7" s="145"/>
      <c r="E7" s="145"/>
      <c r="F7" s="61"/>
      <c r="G7" s="61"/>
      <c r="H7" s="61"/>
      <c r="I7" s="61"/>
      <c r="J7" s="61"/>
      <c r="K7" s="61"/>
      <c r="O7" s="44" t="s">
        <v>107</v>
      </c>
    </row>
    <row r="8" spans="1:15">
      <c r="A8" s="539" t="s">
        <v>2</v>
      </c>
      <c r="B8" s="539" t="s">
        <v>10</v>
      </c>
      <c r="C8" s="539" t="s">
        <v>95</v>
      </c>
      <c r="D8" s="532" t="s">
        <v>9</v>
      </c>
      <c r="E8" s="533"/>
      <c r="F8" s="533"/>
      <c r="G8" s="533"/>
      <c r="H8" s="533"/>
      <c r="I8" s="533"/>
      <c r="J8" s="533"/>
      <c r="K8" s="533"/>
      <c r="L8" s="533"/>
      <c r="M8" s="533"/>
      <c r="N8" s="533"/>
      <c r="O8" s="534"/>
    </row>
    <row r="9" spans="1:15">
      <c r="A9" s="539"/>
      <c r="B9" s="539"/>
      <c r="C9" s="539"/>
      <c r="D9" s="538" t="s">
        <v>18</v>
      </c>
      <c r="E9" s="538"/>
      <c r="F9" s="538"/>
      <c r="G9" s="538"/>
      <c r="H9" s="538" t="s">
        <v>19</v>
      </c>
      <c r="I9" s="538"/>
      <c r="J9" s="538"/>
      <c r="K9" s="538"/>
      <c r="L9" s="532" t="s">
        <v>353</v>
      </c>
      <c r="M9" s="533"/>
      <c r="N9" s="533"/>
      <c r="O9" s="534"/>
    </row>
    <row r="10" spans="1:15" ht="100.8">
      <c r="A10" s="539"/>
      <c r="B10" s="539"/>
      <c r="C10" s="539"/>
      <c r="D10" s="47" t="s">
        <v>11</v>
      </c>
      <c r="E10" s="47" t="s">
        <v>13</v>
      </c>
      <c r="F10" s="47" t="s">
        <v>3</v>
      </c>
      <c r="G10" s="47" t="s">
        <v>12</v>
      </c>
      <c r="H10" s="47" t="s">
        <v>11</v>
      </c>
      <c r="I10" s="47" t="s">
        <v>13</v>
      </c>
      <c r="J10" s="47" t="s">
        <v>3</v>
      </c>
      <c r="K10" s="47" t="s">
        <v>12</v>
      </c>
      <c r="L10" s="47" t="s">
        <v>11</v>
      </c>
      <c r="M10" s="47" t="s">
        <v>13</v>
      </c>
      <c r="N10" s="47" t="s">
        <v>3</v>
      </c>
      <c r="O10" s="47" t="s">
        <v>12</v>
      </c>
    </row>
    <row r="11" spans="1:15" ht="18">
      <c r="A11" s="323"/>
      <c r="B11" s="436" t="s">
        <v>14</v>
      </c>
      <c r="C11" s="437"/>
      <c r="D11" s="366"/>
      <c r="E11" s="323" t="s">
        <v>15</v>
      </c>
      <c r="F11" s="438"/>
      <c r="G11" s="439">
        <f>D11*F11</f>
        <v>0</v>
      </c>
      <c r="H11" s="67"/>
      <c r="I11" s="64" t="s">
        <v>15</v>
      </c>
      <c r="J11" s="68"/>
      <c r="K11" s="66"/>
      <c r="L11" s="67"/>
      <c r="M11" s="64" t="s">
        <v>15</v>
      </c>
      <c r="N11" s="68"/>
      <c r="O11" s="66"/>
    </row>
    <row r="12" spans="1:15" ht="18">
      <c r="A12" s="323">
        <v>292</v>
      </c>
      <c r="B12" s="366" t="s">
        <v>20</v>
      </c>
      <c r="C12" s="437">
        <f>G12</f>
        <v>103122.94500000001</v>
      </c>
      <c r="D12" s="324">
        <v>6874863</v>
      </c>
      <c r="E12" s="323" t="s">
        <v>15</v>
      </c>
      <c r="F12" s="337">
        <v>1.5</v>
      </c>
      <c r="G12" s="324">
        <f>D12*F12/100</f>
        <v>103122.94500000001</v>
      </c>
      <c r="H12" s="67"/>
      <c r="I12" s="67"/>
      <c r="J12" s="68"/>
      <c r="K12" s="66"/>
      <c r="L12" s="67"/>
      <c r="M12" s="67"/>
      <c r="N12" s="68"/>
      <c r="O12" s="66"/>
    </row>
    <row r="13" spans="1:15" ht="18">
      <c r="A13" s="323">
        <v>292</v>
      </c>
      <c r="B13" s="366" t="s">
        <v>20</v>
      </c>
      <c r="C13" s="437">
        <f>G13</f>
        <v>84.876000000000005</v>
      </c>
      <c r="D13" s="324">
        <v>28292</v>
      </c>
      <c r="E13" s="323" t="s">
        <v>15</v>
      </c>
      <c r="F13" s="337">
        <v>0.3</v>
      </c>
      <c r="G13" s="324">
        <f>D13*F13/100</f>
        <v>84.876000000000005</v>
      </c>
      <c r="H13" s="67"/>
      <c r="I13" s="67"/>
      <c r="J13" s="68"/>
      <c r="K13" s="66"/>
      <c r="L13" s="67"/>
      <c r="M13" s="67"/>
      <c r="N13" s="68"/>
      <c r="O13" s="66"/>
    </row>
    <row r="14" spans="1:15" ht="18">
      <c r="A14" s="323">
        <v>292</v>
      </c>
      <c r="B14" s="366" t="s">
        <v>20</v>
      </c>
      <c r="C14" s="437">
        <f>G14</f>
        <v>8527.6049999999996</v>
      </c>
      <c r="D14" s="324">
        <v>568507</v>
      </c>
      <c r="E14" s="323" t="s">
        <v>15</v>
      </c>
      <c r="F14" s="337">
        <v>1.5</v>
      </c>
      <c r="G14" s="324">
        <f>D14*F14/100</f>
        <v>8527.6049999999996</v>
      </c>
      <c r="H14" s="67"/>
      <c r="I14" s="67"/>
      <c r="J14" s="68"/>
      <c r="K14" s="66"/>
      <c r="L14" s="67"/>
      <c r="M14" s="67"/>
      <c r="N14" s="68"/>
      <c r="O14" s="66"/>
    </row>
    <row r="15" spans="1:15">
      <c r="A15" s="62"/>
      <c r="B15" s="69"/>
      <c r="C15" s="70">
        <f>SUM(C12:C14)</f>
        <v>111735.42600000001</v>
      </c>
      <c r="D15" s="62" t="s">
        <v>6</v>
      </c>
      <c r="E15" s="62" t="s">
        <v>6</v>
      </c>
      <c r="F15" s="62" t="s">
        <v>6</v>
      </c>
      <c r="G15" s="70"/>
      <c r="H15" s="62" t="s">
        <v>6</v>
      </c>
      <c r="I15" s="62" t="s">
        <v>6</v>
      </c>
      <c r="J15" s="62" t="s">
        <v>6</v>
      </c>
      <c r="K15" s="70"/>
      <c r="L15" s="62" t="s">
        <v>6</v>
      </c>
      <c r="M15" s="62" t="s">
        <v>6</v>
      </c>
      <c r="N15" s="62" t="s">
        <v>6</v>
      </c>
      <c r="O15" s="70"/>
    </row>
    <row r="16" spans="1:15">
      <c r="A16" s="74"/>
      <c r="C16" s="143"/>
      <c r="F16" s="144"/>
      <c r="G16" s="143"/>
      <c r="J16" s="144"/>
      <c r="K16" s="143"/>
      <c r="N16" s="144"/>
      <c r="O16" s="143"/>
    </row>
    <row r="17" spans="1:15">
      <c r="C17" s="143"/>
      <c r="F17" s="144"/>
      <c r="G17" s="143"/>
      <c r="J17" s="144"/>
      <c r="K17" s="143"/>
      <c r="N17" s="144"/>
      <c r="O17" s="143"/>
    </row>
    <row r="19" spans="1:15">
      <c r="A19" s="60" t="s">
        <v>123</v>
      </c>
    </row>
    <row r="20" spans="1:15">
      <c r="A20" s="539" t="s">
        <v>2</v>
      </c>
      <c r="B20" s="539" t="s">
        <v>10</v>
      </c>
      <c r="C20" s="539" t="s">
        <v>95</v>
      </c>
      <c r="D20" s="538" t="s">
        <v>9</v>
      </c>
      <c r="E20" s="538"/>
      <c r="F20" s="538"/>
      <c r="G20" s="538"/>
      <c r="H20" s="538"/>
      <c r="I20" s="538"/>
      <c r="J20" s="538"/>
      <c r="K20" s="538"/>
      <c r="L20" s="538"/>
      <c r="M20" s="538"/>
      <c r="N20" s="538"/>
      <c r="O20" s="538"/>
    </row>
    <row r="21" spans="1:15">
      <c r="A21" s="539"/>
      <c r="B21" s="539"/>
      <c r="C21" s="539"/>
      <c r="D21" s="538" t="s">
        <v>18</v>
      </c>
      <c r="E21" s="538"/>
      <c r="F21" s="538"/>
      <c r="G21" s="538"/>
      <c r="H21" s="538" t="s">
        <v>19</v>
      </c>
      <c r="I21" s="538"/>
      <c r="J21" s="538"/>
      <c r="K21" s="538"/>
      <c r="L21" s="538" t="s">
        <v>353</v>
      </c>
      <c r="M21" s="538"/>
      <c r="N21" s="538"/>
      <c r="O21" s="538"/>
    </row>
    <row r="22" spans="1:15" ht="100.8">
      <c r="A22" s="539"/>
      <c r="B22" s="539"/>
      <c r="C22" s="539"/>
      <c r="D22" s="47" t="s">
        <v>11</v>
      </c>
      <c r="E22" s="47" t="s">
        <v>13</v>
      </c>
      <c r="F22" s="47" t="s">
        <v>3</v>
      </c>
      <c r="G22" s="47" t="s">
        <v>12</v>
      </c>
      <c r="H22" s="47" t="s">
        <v>11</v>
      </c>
      <c r="I22" s="47" t="s">
        <v>13</v>
      </c>
      <c r="J22" s="47" t="s">
        <v>3</v>
      </c>
      <c r="K22" s="47" t="s">
        <v>12</v>
      </c>
      <c r="L22" s="47" t="s">
        <v>11</v>
      </c>
      <c r="M22" s="47" t="s">
        <v>13</v>
      </c>
      <c r="N22" s="47" t="s">
        <v>3</v>
      </c>
      <c r="O22" s="47" t="s">
        <v>12</v>
      </c>
    </row>
    <row r="23" spans="1:15" ht="18">
      <c r="A23" s="323">
        <v>291</v>
      </c>
      <c r="B23" s="366" t="s">
        <v>16</v>
      </c>
      <c r="C23" s="437">
        <v>42000</v>
      </c>
      <c r="D23" s="366">
        <v>3500</v>
      </c>
      <c r="E23" s="323" t="s">
        <v>17</v>
      </c>
      <c r="F23" s="68"/>
      <c r="G23" s="66"/>
      <c r="H23" s="67"/>
      <c r="I23" s="64" t="s">
        <v>17</v>
      </c>
      <c r="J23" s="68"/>
      <c r="K23" s="66"/>
      <c r="L23" s="67"/>
      <c r="M23" s="64" t="s">
        <v>17</v>
      </c>
      <c r="N23" s="68"/>
      <c r="O23" s="66"/>
    </row>
    <row r="24" spans="1:15" ht="18">
      <c r="A24" s="323">
        <v>292</v>
      </c>
      <c r="B24" s="366" t="s">
        <v>120</v>
      </c>
      <c r="C24" s="437">
        <v>18000</v>
      </c>
      <c r="D24" s="366">
        <v>4500</v>
      </c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</row>
    <row r="25" spans="1:15" ht="18">
      <c r="A25" s="323">
        <v>297</v>
      </c>
      <c r="B25" s="366" t="s">
        <v>121</v>
      </c>
      <c r="C25" s="437">
        <v>24000</v>
      </c>
      <c r="D25" s="366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</row>
    <row r="26" spans="1:15">
      <c r="A26" s="146"/>
      <c r="B26" s="146"/>
      <c r="C26" s="440">
        <f>SUM(C23:C25)</f>
        <v>84000</v>
      </c>
      <c r="D26" s="147" t="s">
        <v>6</v>
      </c>
      <c r="E26" s="147" t="s">
        <v>6</v>
      </c>
      <c r="F26" s="147" t="s">
        <v>6</v>
      </c>
      <c r="G26" s="147"/>
      <c r="H26" s="147" t="s">
        <v>6</v>
      </c>
      <c r="I26" s="147" t="s">
        <v>6</v>
      </c>
      <c r="J26" s="147" t="s">
        <v>6</v>
      </c>
      <c r="K26" s="147"/>
      <c r="L26" s="147" t="s">
        <v>6</v>
      </c>
      <c r="M26" s="147" t="s">
        <v>6</v>
      </c>
      <c r="N26" s="147" t="s">
        <v>6</v>
      </c>
      <c r="O26" s="147"/>
    </row>
    <row r="29" spans="1:15">
      <c r="A29" s="60" t="s">
        <v>125</v>
      </c>
    </row>
    <row r="30" spans="1:15">
      <c r="A30" s="539" t="s">
        <v>2</v>
      </c>
      <c r="B30" s="539" t="s">
        <v>10</v>
      </c>
      <c r="C30" s="539" t="s">
        <v>95</v>
      </c>
      <c r="D30" s="538" t="s">
        <v>9</v>
      </c>
      <c r="E30" s="538"/>
      <c r="F30" s="538"/>
      <c r="G30" s="538"/>
      <c r="H30" s="538"/>
      <c r="I30" s="538"/>
      <c r="J30" s="538"/>
      <c r="K30" s="538"/>
      <c r="L30" s="538"/>
      <c r="M30" s="538"/>
      <c r="N30" s="538"/>
      <c r="O30" s="538"/>
    </row>
    <row r="31" spans="1:15">
      <c r="A31" s="539"/>
      <c r="B31" s="539"/>
      <c r="C31" s="539"/>
      <c r="D31" s="538" t="s">
        <v>18</v>
      </c>
      <c r="E31" s="538"/>
      <c r="F31" s="538"/>
      <c r="G31" s="538"/>
      <c r="H31" s="538" t="s">
        <v>19</v>
      </c>
      <c r="I31" s="538"/>
      <c r="J31" s="538"/>
      <c r="K31" s="538"/>
      <c r="L31" s="532" t="s">
        <v>353</v>
      </c>
      <c r="M31" s="533"/>
      <c r="N31" s="533"/>
      <c r="O31" s="534"/>
    </row>
    <row r="32" spans="1:15" ht="100.8">
      <c r="A32" s="539"/>
      <c r="B32" s="539"/>
      <c r="C32" s="539"/>
      <c r="D32" s="47" t="s">
        <v>11</v>
      </c>
      <c r="E32" s="47" t="s">
        <v>13</v>
      </c>
      <c r="F32" s="47" t="s">
        <v>3</v>
      </c>
      <c r="G32" s="47" t="s">
        <v>12</v>
      </c>
      <c r="H32" s="47" t="s">
        <v>11</v>
      </c>
      <c r="I32" s="47" t="s">
        <v>13</v>
      </c>
      <c r="J32" s="47" t="s">
        <v>3</v>
      </c>
      <c r="K32" s="47" t="s">
        <v>12</v>
      </c>
      <c r="L32" s="47" t="s">
        <v>11</v>
      </c>
      <c r="M32" s="47" t="s">
        <v>13</v>
      </c>
      <c r="N32" s="47" t="s">
        <v>3</v>
      </c>
      <c r="O32" s="47" t="s">
        <v>12</v>
      </c>
    </row>
    <row r="33" spans="1:15" ht="54">
      <c r="A33" s="366">
        <v>291</v>
      </c>
      <c r="B33" s="335" t="s">
        <v>126</v>
      </c>
      <c r="C33" s="366">
        <v>24448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</row>
    <row r="34" spans="1:15" ht="18">
      <c r="A34" s="366"/>
      <c r="B34" s="366" t="s">
        <v>127</v>
      </c>
      <c r="C34" s="366">
        <v>144000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</row>
    <row r="35" spans="1:15">
      <c r="A35" s="146"/>
      <c r="B35" s="146"/>
      <c r="C35" s="146">
        <f>SUM(C33:C34)</f>
        <v>168448</v>
      </c>
      <c r="D35" s="147" t="s">
        <v>6</v>
      </c>
      <c r="E35" s="147" t="s">
        <v>6</v>
      </c>
      <c r="F35" s="147" t="s">
        <v>6</v>
      </c>
      <c r="G35" s="147"/>
      <c r="H35" s="147" t="s">
        <v>6</v>
      </c>
      <c r="I35" s="147" t="s">
        <v>6</v>
      </c>
      <c r="J35" s="147" t="s">
        <v>6</v>
      </c>
      <c r="K35" s="147"/>
      <c r="L35" s="147" t="s">
        <v>6</v>
      </c>
      <c r="M35" s="147" t="s">
        <v>6</v>
      </c>
      <c r="N35" s="147" t="s">
        <v>6</v>
      </c>
      <c r="O35" s="147"/>
    </row>
  </sheetData>
  <mergeCells count="23">
    <mergeCell ref="M1:O1"/>
    <mergeCell ref="L21:O21"/>
    <mergeCell ref="D20:O20"/>
    <mergeCell ref="D30:O30"/>
    <mergeCell ref="L31:O31"/>
    <mergeCell ref="A4:K4"/>
    <mergeCell ref="D9:G9"/>
    <mergeCell ref="H9:K9"/>
    <mergeCell ref="B8:B10"/>
    <mergeCell ref="A8:A10"/>
    <mergeCell ref="C8:C10"/>
    <mergeCell ref="D8:O8"/>
    <mergeCell ref="L9:O9"/>
    <mergeCell ref="A30:A32"/>
    <mergeCell ref="B30:B32"/>
    <mergeCell ref="C30:C32"/>
    <mergeCell ref="D31:G31"/>
    <mergeCell ref="H31:K31"/>
    <mergeCell ref="A20:A22"/>
    <mergeCell ref="B20:B22"/>
    <mergeCell ref="C20:C22"/>
    <mergeCell ref="D21:G21"/>
    <mergeCell ref="H21:K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B8" sqref="B8:B9"/>
    </sheetView>
  </sheetViews>
  <sheetFormatPr defaultRowHeight="15.6"/>
  <cols>
    <col min="1" max="1" width="12.19921875" customWidth="1"/>
    <col min="2" max="2" width="24" customWidth="1"/>
    <col min="3" max="3" width="14.59765625" customWidth="1"/>
    <col min="4" max="4" width="12.5" customWidth="1"/>
    <col min="5" max="5" width="13.5" customWidth="1"/>
  </cols>
  <sheetData>
    <row r="1" spans="1:7" ht="162" customHeight="1">
      <c r="E1" s="542" t="s">
        <v>350</v>
      </c>
      <c r="F1" s="542"/>
      <c r="G1" s="542"/>
    </row>
    <row r="2" spans="1:7">
      <c r="E2" t="s">
        <v>136</v>
      </c>
    </row>
    <row r="4" spans="1:7">
      <c r="A4" s="97"/>
      <c r="B4" t="s">
        <v>166</v>
      </c>
    </row>
    <row r="5" spans="1:7" ht="62.4">
      <c r="A5" s="91" t="s">
        <v>177</v>
      </c>
      <c r="B5" s="88" t="s">
        <v>168</v>
      </c>
      <c r="C5" s="88" t="s">
        <v>169</v>
      </c>
      <c r="D5" s="88" t="s">
        <v>170</v>
      </c>
      <c r="E5" s="98" t="s">
        <v>171</v>
      </c>
    </row>
    <row r="6" spans="1:7">
      <c r="A6" s="89"/>
      <c r="B6" s="89"/>
      <c r="C6" s="89"/>
      <c r="D6" s="89"/>
      <c r="E6" s="89"/>
    </row>
    <row r="7" spans="1:7">
      <c r="A7" s="89"/>
      <c r="B7" s="89"/>
      <c r="C7" s="89"/>
      <c r="D7" s="89"/>
      <c r="E7" s="89"/>
    </row>
  </sheetData>
  <mergeCells count="1"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инвентаризация мягк инв</vt:lpstr>
      <vt:lpstr>Лист1</vt:lpstr>
      <vt:lpstr>ПЛАН</vt:lpstr>
      <vt:lpstr>ФОТ по ЗП-соц</vt:lpstr>
      <vt:lpstr>прочие выпл</vt:lpstr>
      <vt:lpstr>стр взносы</vt:lpstr>
      <vt:lpstr>выплаты соц.ха</vt:lpstr>
      <vt:lpstr>Налоги</vt:lpstr>
      <vt:lpstr>безвоз пер</vt:lpstr>
      <vt:lpstr>пр. расх</vt:lpstr>
      <vt:lpstr>работы и услуги</vt:lpstr>
      <vt:lpstr>ОС и МЗ</vt:lpstr>
      <vt:lpstr>питание</vt:lpstr>
      <vt:lpstr>мягкий инвентарь</vt:lpstr>
      <vt:lpstr>выплаты умень доход</vt:lpstr>
      <vt:lpstr>ээнергия</vt:lpstr>
      <vt:lpstr>канализация</vt:lpstr>
      <vt:lpstr>тбо</vt:lpstr>
      <vt:lpstr>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</cp:lastModifiedBy>
  <cp:lastPrinted>2024-09-02T06:19:53Z</cp:lastPrinted>
  <dcterms:created xsi:type="dcterms:W3CDTF">2021-09-15T02:23:50Z</dcterms:created>
  <dcterms:modified xsi:type="dcterms:W3CDTF">2025-03-04T08:35:22Z</dcterms:modified>
</cp:coreProperties>
</file>